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defaultThemeVersion="124226"/>
  <bookViews>
    <workbookView xWindow="-120" yWindow="-120" windowWidth="15600" windowHeight="11760" tabRatio="915" firstSheet="1" activeTab="1"/>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1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s>
  <externalReferences>
    <externalReference r:id="rId19"/>
    <externalReference r:id="rId20"/>
  </externalReferences>
  <definedNames>
    <definedName name="_xlnm.Print_Area" localSheetId="1">'1.Project Cost and MOF'!$A$1:$F$35</definedName>
    <definedName name="_xlnm.Print_Area" localSheetId="10">'10.Grain Production details'!$A$1:$Z$114</definedName>
    <definedName name="_xlnm.Print_Area" localSheetId="11">'11.F&amp;V Crop Production details'!$A$1:$Z$127</definedName>
    <definedName name="_xlnm.Print_Area" localSheetId="12">'12.Facility 1 - Trading'!$A$1:$J$304</definedName>
    <definedName name="_xlnm.Print_Area" localSheetId="13">'13.Facility 2 Grain Processing'!$A$3:$J$183</definedName>
    <definedName name="_xlnm.Print_Area" localSheetId="14">'14. Facility 3 Warehouse'!$A$1:$K$50</definedName>
    <definedName name="_xlnm.Print_Area" localSheetId="15">'15. Facility 4 Custom Hiring'!$A$1:$U$54</definedName>
    <definedName name="_xlnm.Print_Area" localSheetId="16">'16.Facility 5 Agri Input'!$A$1:$J$281</definedName>
    <definedName name="_xlnm.Print_Area" localSheetId="17">'17.Facility 6 Horti Processing '!$A$1:$J$192</definedName>
    <definedName name="_xlnm.Print_Area" localSheetId="2">'2.Capex Details'!$A$1:$H$120</definedName>
    <definedName name="_xlnm.Print_Area" localSheetId="3">'3.Other Exp &amp; Taxes'!$A$1:$R$105</definedName>
    <definedName name="_xlnm.Print_Area" localSheetId="4">'4.TL repayment sch'!$A$1:$H$95</definedName>
    <definedName name="_xlnm.Print_Area" localSheetId="5">'5.Closing Stock &amp; W Capital'!$A$1:$L$60</definedName>
    <definedName name="_xlnm.Print_Area" localSheetId="6">'6.Cons Profit &amp; Loss'!$A$1:$I$56</definedName>
    <definedName name="_xlnm.Print_Area" localSheetId="7">'7.Balance Sheet'!$A$1:$I$50</definedName>
    <definedName name="_xlnm.Print_Area" localSheetId="8">'8.Cash Flow '!$A$1:$J$38</definedName>
    <definedName name="_xlnm.Print_Area" localSheetId="9">'9.1 Financial indiacators'!$B$1:$M$187</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8" i="42"/>
  <c r="E37"/>
  <c r="E36"/>
  <c r="D38"/>
  <c r="D37"/>
  <c r="D36"/>
  <c r="E167" i="72"/>
  <c r="D167"/>
  <c r="E268" i="53"/>
  <c r="D268"/>
  <c r="E267"/>
  <c r="D267"/>
  <c r="F44" i="48"/>
  <c r="E44"/>
  <c r="K152" i="72" l="1"/>
  <c r="G61" i="57" l="1"/>
  <c r="G62"/>
  <c r="G53"/>
  <c r="G54"/>
  <c r="G6"/>
  <c r="G30" l="1"/>
  <c r="G29"/>
  <c r="G28"/>
  <c r="G27"/>
  <c r="G26"/>
  <c r="G25"/>
  <c r="G24"/>
  <c r="G23"/>
  <c r="G22"/>
  <c r="G21"/>
  <c r="B7" i="83"/>
  <c r="B9" s="1"/>
  <c r="D40" s="1"/>
  <c r="B126" s="1"/>
  <c r="C57" i="53" s="1"/>
  <c r="C110" s="1"/>
  <c r="B7" i="81"/>
  <c r="B9" s="1"/>
  <c r="B113"/>
  <c r="C30" i="53" s="1"/>
  <c r="C83" s="1"/>
  <c r="C31"/>
  <c r="C84" s="1"/>
  <c r="D152" s="1"/>
  <c r="B32" i="55"/>
  <c r="D290"/>
  <c r="C40" i="81"/>
  <c r="C32" i="55"/>
  <c r="C65" i="81"/>
  <c r="C90"/>
  <c r="D90" s="1"/>
  <c r="E90" s="1"/>
  <c r="F90" s="1"/>
  <c r="G90" s="1"/>
  <c r="H90" s="1"/>
  <c r="D31" i="53"/>
  <c r="D84" s="1"/>
  <c r="D40" i="81"/>
  <c r="E40" s="1"/>
  <c r="F40" s="1"/>
  <c r="D32" i="55"/>
  <c r="E31" i="53"/>
  <c r="E84" s="1"/>
  <c r="E32" i="55"/>
  <c r="F31" i="53"/>
  <c r="F84" s="1"/>
  <c r="F32" i="55"/>
  <c r="G31" i="53"/>
  <c r="G84" s="1"/>
  <c r="G32" i="55"/>
  <c r="H31" i="53"/>
  <c r="H84" s="1"/>
  <c r="H32" i="55"/>
  <c r="I31" i="53"/>
  <c r="I84" s="1"/>
  <c r="E22" i="22"/>
  <c r="E21"/>
  <c r="E20"/>
  <c r="E19"/>
  <c r="E18"/>
  <c r="E17"/>
  <c r="E16"/>
  <c r="H47" i="57"/>
  <c r="B169" i="72" s="1"/>
  <c r="G8" i="57"/>
  <c r="G9"/>
  <c r="G10"/>
  <c r="G11"/>
  <c r="G49"/>
  <c r="G50"/>
  <c r="G51"/>
  <c r="G52"/>
  <c r="G55"/>
  <c r="G56"/>
  <c r="G34"/>
  <c r="G35"/>
  <c r="G36"/>
  <c r="G37"/>
  <c r="G38"/>
  <c r="G39"/>
  <c r="G40"/>
  <c r="G41"/>
  <c r="G42"/>
  <c r="G43"/>
  <c r="G44"/>
  <c r="G45"/>
  <c r="G46"/>
  <c r="G31"/>
  <c r="G59"/>
  <c r="G60"/>
  <c r="F74"/>
  <c r="F75"/>
  <c r="F76"/>
  <c r="F77"/>
  <c r="F78"/>
  <c r="F79"/>
  <c r="F88"/>
  <c r="F89"/>
  <c r="F90"/>
  <c r="F91"/>
  <c r="F92"/>
  <c r="F93"/>
  <c r="F102"/>
  <c r="F103"/>
  <c r="F104"/>
  <c r="D117"/>
  <c r="D10" i="62" s="1"/>
  <c r="F10" s="1"/>
  <c r="B63" i="55"/>
  <c r="B162"/>
  <c r="D221" s="1"/>
  <c r="B163"/>
  <c r="D222" s="1"/>
  <c r="B164"/>
  <c r="D223" s="1"/>
  <c r="C182" i="53"/>
  <c r="F8" i="48"/>
  <c r="H8" s="1"/>
  <c r="C24" s="1"/>
  <c r="C25"/>
  <c r="D25"/>
  <c r="C26"/>
  <c r="D26"/>
  <c r="C27"/>
  <c r="D27"/>
  <c r="C28"/>
  <c r="D28"/>
  <c r="C29"/>
  <c r="D29"/>
  <c r="C30"/>
  <c r="D30"/>
  <c r="B34" i="72"/>
  <c r="B10" i="42"/>
  <c r="D21" s="1"/>
  <c r="D23" s="1"/>
  <c r="B41" i="84"/>
  <c r="D206" i="53"/>
  <c r="D215"/>
  <c r="D244"/>
  <c r="D255" i="55"/>
  <c r="D279"/>
  <c r="D280"/>
  <c r="B5"/>
  <c r="H57" i="57"/>
  <c r="H63"/>
  <c r="B166" i="84" s="1"/>
  <c r="V11" i="61" s="1"/>
  <c r="J9" i="48"/>
  <c r="J10"/>
  <c r="J11"/>
  <c r="J12"/>
  <c r="J13"/>
  <c r="M8"/>
  <c r="M9"/>
  <c r="M10"/>
  <c r="M11"/>
  <c r="M12"/>
  <c r="M13"/>
  <c r="D27" i="42"/>
  <c r="D28"/>
  <c r="E48" i="48"/>
  <c r="B31" i="21" s="1"/>
  <c r="D266" i="53"/>
  <c r="D269"/>
  <c r="D180" i="84"/>
  <c r="D181"/>
  <c r="E8" i="22"/>
  <c r="E9"/>
  <c r="E10"/>
  <c r="E11"/>
  <c r="E12"/>
  <c r="E13"/>
  <c r="E14"/>
  <c r="E15"/>
  <c r="C10" i="62"/>
  <c r="C9"/>
  <c r="C8"/>
  <c r="C7"/>
  <c r="C6"/>
  <c r="C5"/>
  <c r="H63" i="55"/>
  <c r="C44" i="83"/>
  <c r="D44" s="1"/>
  <c r="E44"/>
  <c r="F44" s="1"/>
  <c r="G44" s="1"/>
  <c r="H44" s="1"/>
  <c r="G63" i="55"/>
  <c r="F63"/>
  <c r="E63"/>
  <c r="D63"/>
  <c r="C63"/>
  <c r="E255"/>
  <c r="C72" i="83"/>
  <c r="D72" s="1"/>
  <c r="E72" s="1"/>
  <c r="F72" s="1"/>
  <c r="G72" s="1"/>
  <c r="H72" s="1"/>
  <c r="E181" i="84"/>
  <c r="K12" i="83"/>
  <c r="H31" i="84"/>
  <c r="H32"/>
  <c r="H33"/>
  <c r="C74" i="83"/>
  <c r="C13" i="84" s="1"/>
  <c r="C33" i="72"/>
  <c r="F4" i="22"/>
  <c r="F22" s="1"/>
  <c r="F14"/>
  <c r="F268" i="53"/>
  <c r="C100" i="83"/>
  <c r="D100" s="1"/>
  <c r="E100" s="1"/>
  <c r="F100" s="1"/>
  <c r="G100" s="1"/>
  <c r="H100" s="1"/>
  <c r="C162" i="55"/>
  <c r="C163"/>
  <c r="C164"/>
  <c r="E223" s="1"/>
  <c r="C9" i="42"/>
  <c r="D9" s="1"/>
  <c r="C10"/>
  <c r="D162" i="55"/>
  <c r="D163"/>
  <c r="D164"/>
  <c r="E162"/>
  <c r="E163"/>
  <c r="E164"/>
  <c r="F162"/>
  <c r="F163"/>
  <c r="F164"/>
  <c r="G162"/>
  <c r="G163"/>
  <c r="G164"/>
  <c r="H162"/>
  <c r="H163"/>
  <c r="H164"/>
  <c r="A42" i="81"/>
  <c r="A67" s="1"/>
  <c r="A67" i="83"/>
  <c r="A95" s="1"/>
  <c r="A34" i="84" s="1"/>
  <c r="A62" s="1"/>
  <c r="A123" s="1"/>
  <c r="A66" i="83"/>
  <c r="A94" s="1"/>
  <c r="A65"/>
  <c r="A93" s="1"/>
  <c r="A64"/>
  <c r="A92" s="1"/>
  <c r="C9" i="61"/>
  <c r="C17"/>
  <c r="V8"/>
  <c r="V9"/>
  <c r="V10"/>
  <c r="V12"/>
  <c r="V13"/>
  <c r="U13"/>
  <c r="U12"/>
  <c r="U10"/>
  <c r="U11"/>
  <c r="U9"/>
  <c r="O13"/>
  <c r="P13" s="1"/>
  <c r="Q13" s="1"/>
  <c r="R13" s="1"/>
  <c r="N13"/>
  <c r="O12"/>
  <c r="P12" s="1"/>
  <c r="Q12" s="1"/>
  <c r="R12" s="1"/>
  <c r="N12"/>
  <c r="N11"/>
  <c r="N10"/>
  <c r="O10"/>
  <c r="P10" s="1"/>
  <c r="Q10" s="1"/>
  <c r="R10" s="1"/>
  <c r="O9"/>
  <c r="P9" s="1"/>
  <c r="Q9" s="1"/>
  <c r="R9" s="1"/>
  <c r="N9"/>
  <c r="R8"/>
  <c r="Q8"/>
  <c r="P8"/>
  <c r="O8"/>
  <c r="C15"/>
  <c r="C16"/>
  <c r="I177" i="29"/>
  <c r="H177"/>
  <c r="G177"/>
  <c r="F177"/>
  <c r="E177"/>
  <c r="D177"/>
  <c r="C177"/>
  <c r="B132"/>
  <c r="B147" s="1"/>
  <c r="B162" s="1"/>
  <c r="B177" s="1"/>
  <c r="B131"/>
  <c r="B146" s="1"/>
  <c r="B161" s="1"/>
  <c r="B176" s="1"/>
  <c r="I162"/>
  <c r="H162"/>
  <c r="G162"/>
  <c r="F162"/>
  <c r="E162"/>
  <c r="D162"/>
  <c r="C162"/>
  <c r="I147"/>
  <c r="H147"/>
  <c r="G147"/>
  <c r="F147"/>
  <c r="E147"/>
  <c r="D147"/>
  <c r="C147"/>
  <c r="I132"/>
  <c r="H132"/>
  <c r="G132"/>
  <c r="F132"/>
  <c r="E132"/>
  <c r="D132"/>
  <c r="C132"/>
  <c r="B130"/>
  <c r="B145" s="1"/>
  <c r="B160" s="1"/>
  <c r="B175" s="1"/>
  <c r="B129"/>
  <c r="B144" s="1"/>
  <c r="B159" s="1"/>
  <c r="B174" s="1"/>
  <c r="B128"/>
  <c r="B143" s="1"/>
  <c r="B158" s="1"/>
  <c r="B173" s="1"/>
  <c r="B127"/>
  <c r="B142" s="1"/>
  <c r="B157" s="1"/>
  <c r="B172" s="1"/>
  <c r="B126"/>
  <c r="B141" s="1"/>
  <c r="B156" s="1"/>
  <c r="B171" s="1"/>
  <c r="B37"/>
  <c r="B36"/>
  <c r="B35"/>
  <c r="B34"/>
  <c r="B33"/>
  <c r="B32"/>
  <c r="C53" i="61"/>
  <c r="C52"/>
  <c r="C51"/>
  <c r="C50"/>
  <c r="C49"/>
  <c r="C48"/>
  <c r="A23" i="21"/>
  <c r="A33" s="1"/>
  <c r="A156" i="84"/>
  <c r="A155"/>
  <c r="A154"/>
  <c r="A53" i="55"/>
  <c r="A110" s="1"/>
  <c r="A162" s="1"/>
  <c r="A221" s="1"/>
  <c r="A56"/>
  <c r="A113" s="1"/>
  <c r="A165" s="1"/>
  <c r="A224" s="1"/>
  <c r="A275" s="1"/>
  <c r="A179" i="53"/>
  <c r="A244" s="1"/>
  <c r="A70" i="83"/>
  <c r="A69"/>
  <c r="A68"/>
  <c r="A96" s="1"/>
  <c r="A63"/>
  <c r="A91" s="1"/>
  <c r="A62"/>
  <c r="A90" s="1"/>
  <c r="A61"/>
  <c r="A89" s="1"/>
  <c r="A60"/>
  <c r="A59"/>
  <c r="A87" s="1"/>
  <c r="A58"/>
  <c r="A86" s="1"/>
  <c r="A57"/>
  <c r="A85" s="1"/>
  <c r="A113" s="1"/>
  <c r="A44" i="53" s="1"/>
  <c r="A56" i="83"/>
  <c r="A55"/>
  <c r="A83" s="1"/>
  <c r="A54"/>
  <c r="A82" s="1"/>
  <c r="A53"/>
  <c r="A81" s="1"/>
  <c r="A109" s="1"/>
  <c r="A40" i="53" s="1"/>
  <c r="A52" i="83"/>
  <c r="A51"/>
  <c r="A79" s="1"/>
  <c r="A50"/>
  <c r="A78" s="1"/>
  <c r="A49"/>
  <c r="A38" i="55" s="1"/>
  <c r="A95" s="1"/>
  <c r="A147" s="1"/>
  <c r="A206" s="1"/>
  <c r="A260" s="1"/>
  <c r="A48" i="83"/>
  <c r="A47"/>
  <c r="A75" s="1"/>
  <c r="A46"/>
  <c r="A74" s="1"/>
  <c r="A32" i="53"/>
  <c r="A31"/>
  <c r="A152" s="1"/>
  <c r="A220" s="1"/>
  <c r="A62" i="81"/>
  <c r="A61"/>
  <c r="A86" s="1"/>
  <c r="A111" s="1"/>
  <c r="A29" i="53" s="1"/>
  <c r="A150" s="1"/>
  <c r="A218" s="1"/>
  <c r="A60" i="81"/>
  <c r="A43"/>
  <c r="A68" s="1"/>
  <c r="A34" i="55"/>
  <c r="A91" s="1"/>
  <c r="A143" s="1"/>
  <c r="A202" s="1"/>
  <c r="A256" s="1"/>
  <c r="A39"/>
  <c r="A96" s="1"/>
  <c r="A148" s="1"/>
  <c r="A207" s="1"/>
  <c r="A261" s="1"/>
  <c r="A44"/>
  <c r="A101" s="1"/>
  <c r="A153" s="1"/>
  <c r="A212" s="1"/>
  <c r="A266" s="1"/>
  <c r="A46"/>
  <c r="A103" s="1"/>
  <c r="A155" s="1"/>
  <c r="A214" s="1"/>
  <c r="A268" s="1"/>
  <c r="A51"/>
  <c r="A108" s="1"/>
  <c r="A160" s="1"/>
  <c r="A219" s="1"/>
  <c r="A273" s="1"/>
  <c r="A279"/>
  <c r="A280"/>
  <c r="A255"/>
  <c r="A254"/>
  <c r="A59" i="81"/>
  <c r="A28" i="55" s="1"/>
  <c r="A85" s="1"/>
  <c r="A137" s="1"/>
  <c r="A195" s="1"/>
  <c r="A250" s="1"/>
  <c r="A20" i="84"/>
  <c r="A51" s="1"/>
  <c r="A94" s="1"/>
  <c r="C40"/>
  <c r="D40" s="1"/>
  <c r="F48" i="48"/>
  <c r="C31" i="21" s="1"/>
  <c r="D86" i="22"/>
  <c r="C43" i="21" s="1"/>
  <c r="G43"/>
  <c r="H111" i="29" s="1"/>
  <c r="H43" i="21"/>
  <c r="J97" i="29" s="1"/>
  <c r="H87" i="22"/>
  <c r="I87"/>
  <c r="A61"/>
  <c r="A62"/>
  <c r="A63"/>
  <c r="A64"/>
  <c r="H32" i="57"/>
  <c r="C65" i="29"/>
  <c r="D65" s="1"/>
  <c r="E65" s="1"/>
  <c r="F65" s="1"/>
  <c r="G65" s="1"/>
  <c r="H65" s="1"/>
  <c r="I65" s="1"/>
  <c r="H61"/>
  <c r="V12" i="83"/>
  <c r="W12" s="1"/>
  <c r="X12" s="1"/>
  <c r="P12"/>
  <c r="Q12" s="1"/>
  <c r="R12" s="1"/>
  <c r="S12" s="1"/>
  <c r="T12" s="1"/>
  <c r="K12" i="81"/>
  <c r="A44"/>
  <c r="A69" s="1"/>
  <c r="A94" s="1"/>
  <c r="A11" i="53" s="1"/>
  <c r="F9" i="48"/>
  <c r="F10"/>
  <c r="F11"/>
  <c r="F12"/>
  <c r="F13"/>
  <c r="A26" i="53"/>
  <c r="A58" i="81"/>
  <c r="A83" s="1"/>
  <c r="A57"/>
  <c r="A82" s="1"/>
  <c r="A107" s="1"/>
  <c r="A24" i="53" s="1"/>
  <c r="A56" i="81"/>
  <c r="A81" s="1"/>
  <c r="A55"/>
  <c r="A80" s="1"/>
  <c r="A54"/>
  <c r="A79" s="1"/>
  <c r="A53"/>
  <c r="A78" s="1"/>
  <c r="A103" s="1"/>
  <c r="A20" i="53" s="1"/>
  <c r="A52" i="81"/>
  <c r="A77" s="1"/>
  <c r="A51"/>
  <c r="A76" s="1"/>
  <c r="A138" i="53"/>
  <c r="A206" s="1"/>
  <c r="A49" i="81"/>
  <c r="A74" s="1"/>
  <c r="A48"/>
  <c r="A73" s="1"/>
  <c r="A47"/>
  <c r="A72" s="1"/>
  <c r="A46"/>
  <c r="A71" s="1"/>
  <c r="A96" s="1"/>
  <c r="A13" i="53" s="1"/>
  <c r="A134" s="1"/>
  <c r="A202" s="1"/>
  <c r="A45" i="81"/>
  <c r="A70" s="1"/>
  <c r="A129" i="53"/>
  <c r="A61"/>
  <c r="A70"/>
  <c r="A50" i="81"/>
  <c r="A75" s="1"/>
  <c r="A21" i="72" s="1"/>
  <c r="A45" s="1"/>
  <c r="A87" s="1"/>
  <c r="A121"/>
  <c r="A22" i="55"/>
  <c r="A79" s="1"/>
  <c r="A131" s="1"/>
  <c r="A189" s="1"/>
  <c r="A244" s="1"/>
  <c r="A16"/>
  <c r="A73" s="1"/>
  <c r="A125" s="1"/>
  <c r="A183" s="1"/>
  <c r="A238" s="1"/>
  <c r="A32"/>
  <c r="A89" s="1"/>
  <c r="A141" s="1"/>
  <c r="V12" i="81"/>
  <c r="W12" s="1"/>
  <c r="X12" s="1"/>
  <c r="P12"/>
  <c r="Q12" s="1"/>
  <c r="R12" s="1"/>
  <c r="S12" s="1"/>
  <c r="T12" s="1"/>
  <c r="A24" i="48"/>
  <c r="I97" i="29"/>
  <c r="B98"/>
  <c r="B97"/>
  <c r="B96"/>
  <c r="B95"/>
  <c r="A20" i="21"/>
  <c r="A30" s="1"/>
  <c r="A19"/>
  <c r="A29"/>
  <c r="A18"/>
  <c r="A28" s="1"/>
  <c r="A21"/>
  <c r="A31" s="1"/>
  <c r="A22"/>
  <c r="A32" s="1"/>
  <c r="K145" i="72"/>
  <c r="H28" i="69"/>
  <c r="B17" i="68"/>
  <c r="B16"/>
  <c r="A252" i="53"/>
  <c r="A251"/>
  <c r="A250"/>
  <c r="A248"/>
  <c r="A247"/>
  <c r="A246"/>
  <c r="A245"/>
  <c r="A195"/>
  <c r="A19" i="55" l="1"/>
  <c r="A76" s="1"/>
  <c r="A128" s="1"/>
  <c r="A186" s="1"/>
  <c r="A241" s="1"/>
  <c r="A35"/>
  <c r="A92" s="1"/>
  <c r="A144" s="1"/>
  <c r="A203" s="1"/>
  <c r="A257" s="1"/>
  <c r="O11" i="61"/>
  <c r="P11" s="1"/>
  <c r="Q11" s="1"/>
  <c r="R11" s="1"/>
  <c r="A24" i="55"/>
  <c r="A81" s="1"/>
  <c r="A133" s="1"/>
  <c r="A191" s="1"/>
  <c r="A246" s="1"/>
  <c r="A30"/>
  <c r="A87" s="1"/>
  <c r="A139" s="1"/>
  <c r="A197" s="1"/>
  <c r="A252" s="1"/>
  <c r="A26"/>
  <c r="A83" s="1"/>
  <c r="A135" s="1"/>
  <c r="A193" s="1"/>
  <c r="A248" s="1"/>
  <c r="A28" i="72"/>
  <c r="A52" s="1"/>
  <c r="A109" s="1"/>
  <c r="D39" i="83"/>
  <c r="B125" s="1"/>
  <c r="F9" i="22"/>
  <c r="F11"/>
  <c r="D14" i="81"/>
  <c r="J14" s="1"/>
  <c r="D15"/>
  <c r="F221" i="55"/>
  <c r="H89"/>
  <c r="H141" s="1"/>
  <c r="E206" i="53"/>
  <c r="F25" i="48"/>
  <c r="E27" i="42"/>
  <c r="E21"/>
  <c r="E23" s="1"/>
  <c r="F94" i="57"/>
  <c r="D8" i="62" s="1"/>
  <c r="C19" i="68" s="1"/>
  <c r="C21"/>
  <c r="G86" i="22"/>
  <c r="F43" i="21" s="1"/>
  <c r="H97" i="29" s="1"/>
  <c r="F29" i="48"/>
  <c r="E25"/>
  <c r="G30"/>
  <c r="G26"/>
  <c r="F30"/>
  <c r="F27"/>
  <c r="A25" i="55"/>
  <c r="A82" s="1"/>
  <c r="A134" s="1"/>
  <c r="A192" s="1"/>
  <c r="A247" s="1"/>
  <c r="F223"/>
  <c r="A14"/>
  <c r="A71" s="1"/>
  <c r="A123" s="1"/>
  <c r="A181" s="1"/>
  <c r="A236" s="1"/>
  <c r="A23"/>
  <c r="A80" s="1"/>
  <c r="A132" s="1"/>
  <c r="A190" s="1"/>
  <c r="A245" s="1"/>
  <c r="A17" i="72"/>
  <c r="A41" s="1"/>
  <c r="A72" s="1"/>
  <c r="A84" i="81"/>
  <c r="A109" s="1"/>
  <c r="A27" i="53" s="1"/>
  <c r="A148" s="1"/>
  <c r="A216" s="1"/>
  <c r="C41" i="84"/>
  <c r="A50" i="55"/>
  <c r="A107" s="1"/>
  <c r="A159" s="1"/>
  <c r="A218" s="1"/>
  <c r="A272" s="1"/>
  <c r="A42"/>
  <c r="A99" s="1"/>
  <c r="A151" s="1"/>
  <c r="A210" s="1"/>
  <c r="A264" s="1"/>
  <c r="A77" i="83"/>
  <c r="A105" s="1"/>
  <c r="A36" i="53" s="1"/>
  <c r="A55" i="55"/>
  <c r="A112" s="1"/>
  <c r="A164" s="1"/>
  <c r="A223" s="1"/>
  <c r="H65" i="57"/>
  <c r="F8" i="22"/>
  <c r="F26" i="48"/>
  <c r="G63" i="57"/>
  <c r="D22" i="83"/>
  <c r="A17" i="55"/>
  <c r="A74" s="1"/>
  <c r="A126" s="1"/>
  <c r="A184" s="1"/>
  <c r="A239" s="1"/>
  <c r="A84" i="53"/>
  <c r="K14" i="81"/>
  <c r="A36" i="55"/>
  <c r="A93" s="1"/>
  <c r="A145" s="1"/>
  <c r="A204" s="1"/>
  <c r="A258" s="1"/>
  <c r="A15"/>
  <c r="A72" s="1"/>
  <c r="A124" s="1"/>
  <c r="A182" s="1"/>
  <c r="A237" s="1"/>
  <c r="A18"/>
  <c r="A75" s="1"/>
  <c r="A127" s="1"/>
  <c r="A185" s="1"/>
  <c r="A240" s="1"/>
  <c r="A27"/>
  <c r="A84" s="1"/>
  <c r="A136" s="1"/>
  <c r="A194" s="1"/>
  <c r="A249" s="1"/>
  <c r="E269" i="53"/>
  <c r="A47" i="55"/>
  <c r="A104" s="1"/>
  <c r="A156" s="1"/>
  <c r="A215" s="1"/>
  <c r="A269" s="1"/>
  <c r="A40"/>
  <c r="A97" s="1"/>
  <c r="A149" s="1"/>
  <c r="A208" s="1"/>
  <c r="A262" s="1"/>
  <c r="E215" i="53"/>
  <c r="D185" i="84"/>
  <c r="B33" i="21" s="1"/>
  <c r="D17" i="83"/>
  <c r="B105" s="1"/>
  <c r="D17" i="81"/>
  <c r="B95" s="1"/>
  <c r="C12" i="53" s="1"/>
  <c r="C65" s="1"/>
  <c r="D133" s="1"/>
  <c r="C44" i="84"/>
  <c r="C86" i="22"/>
  <c r="B43" i="21" s="1"/>
  <c r="D12" i="29" s="1"/>
  <c r="A66" i="53"/>
  <c r="F86" i="22"/>
  <c r="F87" s="1"/>
  <c r="D220" i="53"/>
  <c r="G11" i="22"/>
  <c r="G8"/>
  <c r="F12"/>
  <c r="F15"/>
  <c r="F10"/>
  <c r="F13"/>
  <c r="H10"/>
  <c r="F17"/>
  <c r="I12" i="29"/>
  <c r="D274" i="53"/>
  <c r="D21" i="83"/>
  <c r="B109" s="1"/>
  <c r="C40" i="53" s="1"/>
  <c r="C93" s="1"/>
  <c r="D161" s="1"/>
  <c r="D16" i="83"/>
  <c r="D38"/>
  <c r="B124" s="1"/>
  <c r="C55" i="53" s="1"/>
  <c r="C108" s="1"/>
  <c r="D176" s="1"/>
  <c r="D20" i="83"/>
  <c r="D14"/>
  <c r="D15"/>
  <c r="C23"/>
  <c r="D19"/>
  <c r="B107" s="1"/>
  <c r="C38" i="53" s="1"/>
  <c r="C91" s="1"/>
  <c r="D159" s="1"/>
  <c r="D22" i="81"/>
  <c r="B100" s="1"/>
  <c r="C100" s="1"/>
  <c r="D100" s="1"/>
  <c r="E100" s="1"/>
  <c r="F100" s="1"/>
  <c r="G100" s="1"/>
  <c r="H100" s="1"/>
  <c r="D21"/>
  <c r="B99" s="1"/>
  <c r="C87" i="22"/>
  <c r="E86"/>
  <c r="E87" s="1"/>
  <c r="F80" i="57"/>
  <c r="D7" i="62" s="1"/>
  <c r="C18" i="68" s="1"/>
  <c r="G47" i="57"/>
  <c r="G40" i="81"/>
  <c r="H40" s="1"/>
  <c r="A82" i="53"/>
  <c r="E244"/>
  <c r="H8" i="22"/>
  <c r="E29" i="48"/>
  <c r="E27"/>
  <c r="F38" i="83"/>
  <c r="H38" s="1"/>
  <c r="B68" s="1"/>
  <c r="A20" i="55"/>
  <c r="A77" s="1"/>
  <c r="A129" s="1"/>
  <c r="A187" s="1"/>
  <c r="A242" s="1"/>
  <c r="A80" i="83"/>
  <c r="A19" i="84" s="1"/>
  <c r="A50" s="1"/>
  <c r="A91" s="1"/>
  <c r="A41" i="55"/>
  <c r="A98" s="1"/>
  <c r="A150" s="1"/>
  <c r="A209" s="1"/>
  <c r="A263" s="1"/>
  <c r="D87" i="22"/>
  <c r="E266" i="53"/>
  <c r="A48" i="55"/>
  <c r="A105" s="1"/>
  <c r="A157" s="1"/>
  <c r="A216" s="1"/>
  <c r="A270" s="1"/>
  <c r="A43"/>
  <c r="A100" s="1"/>
  <c r="A152" s="1"/>
  <c r="A211" s="1"/>
  <c r="A265" s="1"/>
  <c r="A84" i="83"/>
  <c r="A45" i="55"/>
  <c r="A102" s="1"/>
  <c r="A154" s="1"/>
  <c r="A213" s="1"/>
  <c r="A267" s="1"/>
  <c r="G36" i="48"/>
  <c r="J8"/>
  <c r="E89" i="55"/>
  <c r="F105" i="57"/>
  <c r="D9" i="62" s="1"/>
  <c r="F9" s="1"/>
  <c r="G89" i="55"/>
  <c r="G141" s="1"/>
  <c r="A88" i="83"/>
  <c r="A116" s="1"/>
  <c r="A47" i="53" s="1"/>
  <c r="A100" s="1"/>
  <c r="A49" i="55"/>
  <c r="A106" s="1"/>
  <c r="A158" s="1"/>
  <c r="A217" s="1"/>
  <c r="A271" s="1"/>
  <c r="B104" i="83"/>
  <c r="C35" i="53" s="1"/>
  <c r="C88" s="1"/>
  <c r="F16" i="83"/>
  <c r="H16" s="1"/>
  <c r="B48" s="1"/>
  <c r="A13" i="55"/>
  <c r="A70" s="1"/>
  <c r="A122" s="1"/>
  <c r="A180" s="1"/>
  <c r="A235" s="1"/>
  <c r="A21"/>
  <c r="A78" s="1"/>
  <c r="A130" s="1"/>
  <c r="A188" s="1"/>
  <c r="A243" s="1"/>
  <c r="A30" i="72"/>
  <c r="A54" s="1"/>
  <c r="A115" s="1"/>
  <c r="A52" i="55"/>
  <c r="A109" s="1"/>
  <c r="A161" s="1"/>
  <c r="A220" s="1"/>
  <c r="A274" s="1"/>
  <c r="A153" i="53"/>
  <c r="A221" s="1"/>
  <c r="A85"/>
  <c r="A76" i="83"/>
  <c r="A15" i="84" s="1"/>
  <c r="A46" s="1"/>
  <c r="A75" s="1"/>
  <c r="A37" i="55"/>
  <c r="A94" s="1"/>
  <c r="A146" s="1"/>
  <c r="A205" s="1"/>
  <c r="A259" s="1"/>
  <c r="A118" i="83"/>
  <c r="A49" i="53" s="1"/>
  <c r="A29" i="84"/>
  <c r="A60" s="1"/>
  <c r="A121" s="1"/>
  <c r="A97" i="83"/>
  <c r="A58" i="55"/>
  <c r="A115" s="1"/>
  <c r="A167" s="1"/>
  <c r="A226" s="1"/>
  <c r="A277" s="1"/>
  <c r="D10" i="42"/>
  <c r="E9"/>
  <c r="F222" i="55"/>
  <c r="E221"/>
  <c r="E30" i="48"/>
  <c r="D65" i="81"/>
  <c r="E65" s="1"/>
  <c r="F21" i="83"/>
  <c r="H21" s="1"/>
  <c r="B53" s="1"/>
  <c r="E26" i="48"/>
  <c r="F21" i="22"/>
  <c r="A145" i="53"/>
  <c r="A213" s="1"/>
  <c r="A77"/>
  <c r="A132"/>
  <c r="A200" s="1"/>
  <c r="A64"/>
  <c r="A141"/>
  <c r="A209" s="1"/>
  <c r="A73"/>
  <c r="A98" i="81"/>
  <c r="A15" i="53" s="1"/>
  <c r="A19" i="72"/>
  <c r="A43" s="1"/>
  <c r="A80" s="1"/>
  <c r="A108" i="81"/>
  <c r="A25" i="53" s="1"/>
  <c r="A29" i="72"/>
  <c r="A53" s="1"/>
  <c r="A112" s="1"/>
  <c r="I61" i="29"/>
  <c r="J12"/>
  <c r="I111"/>
  <c r="D111"/>
  <c r="E97"/>
  <c r="D61"/>
  <c r="A14" i="72"/>
  <c r="A38" s="1"/>
  <c r="A62" s="1"/>
  <c r="A93" i="81"/>
  <c r="A10" i="53" s="1"/>
  <c r="A157"/>
  <c r="A225" s="1"/>
  <c r="A89"/>
  <c r="A108" i="83"/>
  <c r="A39" i="53" s="1"/>
  <c r="A165"/>
  <c r="A233" s="1"/>
  <c r="A97"/>
  <c r="A170"/>
  <c r="A238" s="1"/>
  <c r="A102"/>
  <c r="R16" i="61"/>
  <c r="A120" i="83"/>
  <c r="A51" i="53" s="1"/>
  <c r="A31" i="84"/>
  <c r="A13" i="72"/>
  <c r="A37" s="1"/>
  <c r="A58" s="1"/>
  <c r="A92" i="81"/>
  <c r="A9" i="53" s="1"/>
  <c r="G37" i="42"/>
  <c r="D33" i="72"/>
  <c r="C34"/>
  <c r="D33" i="42"/>
  <c r="G38"/>
  <c r="E39" i="61"/>
  <c r="B10" i="21"/>
  <c r="E28" i="48"/>
  <c r="F28"/>
  <c r="G28"/>
  <c r="D178" i="53"/>
  <c r="D243"/>
  <c r="D151"/>
  <c r="D219"/>
  <c r="A11" i="55"/>
  <c r="A68" s="1"/>
  <c r="A120" s="1"/>
  <c r="A178" s="1"/>
  <c r="A233" s="1"/>
  <c r="A12"/>
  <c r="A69" s="1"/>
  <c r="A121" s="1"/>
  <c r="A179" s="1"/>
  <c r="A234" s="1"/>
  <c r="A95" i="81"/>
  <c r="A12" i="53" s="1"/>
  <c r="A16" i="72"/>
  <c r="A40" s="1"/>
  <c r="A69" s="1"/>
  <c r="A102" i="81"/>
  <c r="A19" i="53" s="1"/>
  <c r="A23" i="72"/>
  <c r="A47" s="1"/>
  <c r="A94" s="1"/>
  <c r="A26"/>
  <c r="A50" s="1"/>
  <c r="A103" s="1"/>
  <c r="A105" i="81"/>
  <c r="A22" i="53" s="1"/>
  <c r="E40" i="84"/>
  <c r="D41"/>
  <c r="A24"/>
  <c r="A55" s="1"/>
  <c r="A110" s="1"/>
  <c r="A85" i="81"/>
  <c r="A29" i="55"/>
  <c r="A86" s="1"/>
  <c r="A138" s="1"/>
  <c r="A196" s="1"/>
  <c r="A251" s="1"/>
  <c r="A13" i="84"/>
  <c r="A44" s="1"/>
  <c r="A67" s="1"/>
  <c r="A102" i="83"/>
  <c r="A33" i="53" s="1"/>
  <c r="A107" i="83"/>
  <c r="A38" i="53" s="1"/>
  <c r="A18" i="84"/>
  <c r="A49" s="1"/>
  <c r="A87" s="1"/>
  <c r="A110" i="83"/>
  <c r="A41" i="53" s="1"/>
  <c r="A21" i="84"/>
  <c r="A52" s="1"/>
  <c r="A98" s="1"/>
  <c r="A115" i="83"/>
  <c r="A46" i="53" s="1"/>
  <c r="A26" i="84"/>
  <c r="A57" s="1"/>
  <c r="A118" s="1"/>
  <c r="A54" i="55"/>
  <c r="A111" s="1"/>
  <c r="A163" s="1"/>
  <c r="A222" s="1"/>
  <c r="O16" i="61"/>
  <c r="V16"/>
  <c r="A123" i="83"/>
  <c r="A54" i="53" s="1"/>
  <c r="C10" i="21"/>
  <c r="F39" i="61"/>
  <c r="F220" i="53"/>
  <c r="G220"/>
  <c r="F244"/>
  <c r="F269"/>
  <c r="F206"/>
  <c r="F266"/>
  <c r="F215"/>
  <c r="F267"/>
  <c r="H21" i="22"/>
  <c r="H17"/>
  <c r="H15"/>
  <c r="H14"/>
  <c r="H13"/>
  <c r="F290" i="55"/>
  <c r="F280"/>
  <c r="F255"/>
  <c r="F279"/>
  <c r="E36" i="48"/>
  <c r="E12" i="29"/>
  <c r="A27" i="84"/>
  <c r="A58" s="1"/>
  <c r="A119" s="1"/>
  <c r="A161" i="53"/>
  <c r="A229" s="1"/>
  <c r="A93"/>
  <c r="A23" i="84"/>
  <c r="A54" s="1"/>
  <c r="A106" s="1"/>
  <c r="A112" i="83"/>
  <c r="A43" i="53" s="1"/>
  <c r="A117" i="83"/>
  <c r="A48" i="53" s="1"/>
  <c r="A28" i="84"/>
  <c r="A59" s="1"/>
  <c r="A120" s="1"/>
  <c r="A124" i="83"/>
  <c r="A55" i="53" s="1"/>
  <c r="A35" i="84"/>
  <c r="A63" s="1"/>
  <c r="A127" s="1"/>
  <c r="P16" i="61"/>
  <c r="A121" i="83"/>
  <c r="A52" i="53" s="1"/>
  <c r="A32" i="84"/>
  <c r="G223" i="55"/>
  <c r="F167" i="72"/>
  <c r="K14" i="83"/>
  <c r="E74" s="1"/>
  <c r="E13" i="84" s="1"/>
  <c r="L12" i="83"/>
  <c r="F24" i="48"/>
  <c r="G24"/>
  <c r="F8" i="62"/>
  <c r="C61" i="22"/>
  <c r="A100" i="81"/>
  <c r="A18" i="72"/>
  <c r="A42" s="1"/>
  <c r="A77" s="1"/>
  <c r="A97" i="81"/>
  <c r="A14" i="53" s="1"/>
  <c r="A104" i="81"/>
  <c r="A21" i="53" s="1"/>
  <c r="A25" i="72"/>
  <c r="A49" s="1"/>
  <c r="A100" s="1"/>
  <c r="A147" i="53"/>
  <c r="A215" s="1"/>
  <c r="A79"/>
  <c r="A24" i="72"/>
  <c r="A48" s="1"/>
  <c r="A97" s="1"/>
  <c r="A99" i="81"/>
  <c r="A16" i="53" s="1"/>
  <c r="A20" i="72"/>
  <c r="A44" s="1"/>
  <c r="A83" s="1"/>
  <c r="A22"/>
  <c r="A46" s="1"/>
  <c r="A91" s="1"/>
  <c r="A101" i="81"/>
  <c r="A18" i="53" s="1"/>
  <c r="A106" i="81"/>
  <c r="A23" i="53" s="1"/>
  <c r="A27" i="72"/>
  <c r="A51" s="1"/>
  <c r="A106" s="1"/>
  <c r="A15"/>
  <c r="A39" s="1"/>
  <c r="A65" s="1"/>
  <c r="A16" i="84"/>
  <c r="A47" s="1"/>
  <c r="A79" s="1"/>
  <c r="A57" i="55"/>
  <c r="A114" s="1"/>
  <c r="A166" s="1"/>
  <c r="A225" s="1"/>
  <c r="A276" s="1"/>
  <c r="A87" i="81"/>
  <c r="A112" s="1"/>
  <c r="A30" i="53" s="1"/>
  <c r="A31" i="55"/>
  <c r="A88" s="1"/>
  <c r="A140" s="1"/>
  <c r="A198" s="1"/>
  <c r="A253" s="1"/>
  <c r="A103" i="83"/>
  <c r="A34" i="53" s="1"/>
  <c r="A14" i="84"/>
  <c r="A45" s="1"/>
  <c r="A71" s="1"/>
  <c r="A106" i="83"/>
  <c r="A37" i="53" s="1"/>
  <c r="A17" i="84"/>
  <c r="A48" s="1"/>
  <c r="A83" s="1"/>
  <c r="A111" i="83"/>
  <c r="A42" i="53" s="1"/>
  <c r="A22" i="84"/>
  <c r="A53" s="1"/>
  <c r="A102" s="1"/>
  <c r="A114" i="83"/>
  <c r="A45" i="53" s="1"/>
  <c r="A25" i="84"/>
  <c r="A56" s="1"/>
  <c r="A114" s="1"/>
  <c r="A119" i="83"/>
  <c r="A50" i="53" s="1"/>
  <c r="A30" i="84"/>
  <c r="A61" s="1"/>
  <c r="A122" s="1"/>
  <c r="A98" i="83"/>
  <c r="A59" i="55"/>
  <c r="A116" s="1"/>
  <c r="A168" s="1"/>
  <c r="A227" s="1"/>
  <c r="A278" s="1"/>
  <c r="Q16" i="61"/>
  <c r="A122" i="83"/>
  <c r="A53" i="53" s="1"/>
  <c r="A33" i="84"/>
  <c r="G222" i="55"/>
  <c r="E222"/>
  <c r="H24" i="48"/>
  <c r="G27"/>
  <c r="G25"/>
  <c r="G29"/>
  <c r="G44"/>
  <c r="G48" s="1"/>
  <c r="E180" i="84"/>
  <c r="E185" s="1"/>
  <c r="L12" i="81"/>
  <c r="G19" i="22"/>
  <c r="G20"/>
  <c r="G16"/>
  <c r="G21"/>
  <c r="G17"/>
  <c r="G14"/>
  <c r="G12"/>
  <c r="G10"/>
  <c r="G9"/>
  <c r="E24" i="48"/>
  <c r="G57" i="57"/>
  <c r="G22" i="22"/>
  <c r="E28" i="42"/>
  <c r="E279" i="55"/>
  <c r="E290"/>
  <c r="E280"/>
  <c r="E23" i="22"/>
  <c r="G32" i="57"/>
  <c r="G18" i="22"/>
  <c r="C109" i="83"/>
  <c r="C126"/>
  <c r="F16" i="22"/>
  <c r="F20"/>
  <c r="F19"/>
  <c r="F89" i="55"/>
  <c r="E141"/>
  <c r="G254"/>
  <c r="F18" i="22"/>
  <c r="G152" i="53"/>
  <c r="D89" i="55"/>
  <c r="F152" i="53"/>
  <c r="C113" i="81"/>
  <c r="E152" i="53"/>
  <c r="E220"/>
  <c r="C89" i="55"/>
  <c r="B76" i="83"/>
  <c r="B89" i="55"/>
  <c r="F19" i="83"/>
  <c r="H19" s="1"/>
  <c r="B79" s="1"/>
  <c r="F40"/>
  <c r="H40" s="1"/>
  <c r="B92" i="81"/>
  <c r="F14"/>
  <c r="H14" s="1"/>
  <c r="B67" s="1"/>
  <c r="D18" i="83"/>
  <c r="D37"/>
  <c r="C32"/>
  <c r="D20" i="81"/>
  <c r="D16"/>
  <c r="C32"/>
  <c r="D19"/>
  <c r="C23"/>
  <c r="D18"/>
  <c r="C56" i="53" l="1"/>
  <c r="C109" s="1"/>
  <c r="D177" s="1"/>
  <c r="C125" i="83"/>
  <c r="C107"/>
  <c r="D227" i="53"/>
  <c r="A104" i="83"/>
  <c r="A35" i="53" s="1"/>
  <c r="A156" s="1"/>
  <c r="A224" s="1"/>
  <c r="H12" i="29"/>
  <c r="A80" i="53"/>
  <c r="G111" i="29"/>
  <c r="F39" i="83"/>
  <c r="H39" s="1"/>
  <c r="F17"/>
  <c r="H17" s="1"/>
  <c r="B77" s="1"/>
  <c r="D229" i="53"/>
  <c r="D42" i="42"/>
  <c r="B30" i="21" s="1"/>
  <c r="F28" i="42"/>
  <c r="F37"/>
  <c r="F36"/>
  <c r="F38"/>
  <c r="F27"/>
  <c r="F21"/>
  <c r="F23" s="1"/>
  <c r="D10" i="21" s="1"/>
  <c r="E42" i="42"/>
  <c r="C30" i="21" s="1"/>
  <c r="F21" i="81"/>
  <c r="H21" s="1"/>
  <c r="G61" i="29"/>
  <c r="G87" i="22"/>
  <c r="E43" i="21"/>
  <c r="G12" i="29" s="1"/>
  <c r="C61"/>
  <c r="F36" i="48"/>
  <c r="E31"/>
  <c r="C16" i="53"/>
  <c r="C69" s="1"/>
  <c r="D137" s="1"/>
  <c r="C99" i="81"/>
  <c r="D201" i="53"/>
  <c r="F22" i="81"/>
  <c r="H22" s="1"/>
  <c r="B75" s="1"/>
  <c r="F17"/>
  <c r="H17" s="1"/>
  <c r="C95"/>
  <c r="D12" i="53" s="1"/>
  <c r="D65" s="1"/>
  <c r="F23" i="22"/>
  <c r="C35" i="21" s="1"/>
  <c r="B110" i="83"/>
  <c r="F22"/>
  <c r="H22" s="1"/>
  <c r="G15" i="22"/>
  <c r="G13"/>
  <c r="G23" s="1"/>
  <c r="A168" i="53"/>
  <c r="A236" s="1"/>
  <c r="D97" i="29"/>
  <c r="D241" i="53"/>
  <c r="B18" i="69"/>
  <c r="C18" s="1"/>
  <c r="C111" i="29"/>
  <c r="H11" i="22"/>
  <c r="H19"/>
  <c r="H18"/>
  <c r="H16"/>
  <c r="H12"/>
  <c r="H9"/>
  <c r="H22"/>
  <c r="H20"/>
  <c r="B35" i="21"/>
  <c r="C33"/>
  <c r="E274" i="53"/>
  <c r="B32" i="21"/>
  <c r="D31"/>
  <c r="E33" i="42"/>
  <c r="C20" i="21" s="1"/>
  <c r="K10" s="1"/>
  <c r="B108" i="83"/>
  <c r="F20"/>
  <c r="H20" s="1"/>
  <c r="D27"/>
  <c r="D31"/>
  <c r="D30"/>
  <c r="D24"/>
  <c r="D29"/>
  <c r="D26"/>
  <c r="D28"/>
  <c r="D25"/>
  <c r="B81"/>
  <c r="B20" i="84" s="1"/>
  <c r="B51" s="1"/>
  <c r="B96" i="83"/>
  <c r="B35" i="84" s="1"/>
  <c r="B63" s="1"/>
  <c r="C104" i="83"/>
  <c r="B103"/>
  <c r="F15"/>
  <c r="H15" s="1"/>
  <c r="C124"/>
  <c r="B102"/>
  <c r="F14"/>
  <c r="H14" s="1"/>
  <c r="J14"/>
  <c r="D74" s="1"/>
  <c r="D13" i="84" s="1"/>
  <c r="D44" s="1"/>
  <c r="D43" i="21"/>
  <c r="C20" i="68"/>
  <c r="C55" i="22"/>
  <c r="K55" s="1"/>
  <c r="C49"/>
  <c r="E50" s="1"/>
  <c r="F7" i="62"/>
  <c r="H36" i="48"/>
  <c r="B69" i="83"/>
  <c r="B97"/>
  <c r="E10" i="42"/>
  <c r="G21" s="1"/>
  <c r="G23" s="1"/>
  <c r="H39" i="61" s="1"/>
  <c r="F9" i="42"/>
  <c r="B50" i="81"/>
  <c r="A36" i="84"/>
  <c r="A64" s="1"/>
  <c r="A131" s="1"/>
  <c r="A125" i="83"/>
  <c r="A56" i="53" s="1"/>
  <c r="F274"/>
  <c r="F65" i="81"/>
  <c r="G65" s="1"/>
  <c r="H65" s="1"/>
  <c r="D156" i="53"/>
  <c r="D224"/>
  <c r="B74" i="81"/>
  <c r="B49"/>
  <c r="B97"/>
  <c r="F19"/>
  <c r="H19" s="1"/>
  <c r="B15" i="84"/>
  <c r="C76" i="83"/>
  <c r="D30" i="53"/>
  <c r="D83" s="1"/>
  <c r="D113" i="81"/>
  <c r="D57" i="53"/>
  <c r="D110" s="1"/>
  <c r="D126" i="83"/>
  <c r="D35" i="53"/>
  <c r="D88" s="1"/>
  <c r="D104" i="83"/>
  <c r="F180" i="84"/>
  <c r="F181"/>
  <c r="A137" i="53"/>
  <c r="A205" s="1"/>
  <c r="A69"/>
  <c r="A105"/>
  <c r="A173"/>
  <c r="A99"/>
  <c r="A167"/>
  <c r="A235" s="1"/>
  <c r="A91"/>
  <c r="A159"/>
  <c r="A227" s="1"/>
  <c r="A110" i="81"/>
  <c r="A28" i="53" s="1"/>
  <c r="A31" i="72"/>
  <c r="A55" s="1"/>
  <c r="A118" s="1"/>
  <c r="A160" i="53"/>
  <c r="A228" s="1"/>
  <c r="A92"/>
  <c r="B96" i="81"/>
  <c r="F18"/>
  <c r="H18" s="1"/>
  <c r="B123" i="83"/>
  <c r="F37"/>
  <c r="H37" s="1"/>
  <c r="B37" i="55"/>
  <c r="C48" i="83"/>
  <c r="D16" i="53"/>
  <c r="D69" s="1"/>
  <c r="D99" i="81"/>
  <c r="D56" i="53"/>
  <c r="D109" s="1"/>
  <c r="D125" i="83"/>
  <c r="G31" i="48"/>
  <c r="H27"/>
  <c r="H44"/>
  <c r="H48" s="1"/>
  <c r="I35"/>
  <c r="H25"/>
  <c r="H29"/>
  <c r="H30"/>
  <c r="H26"/>
  <c r="A166" i="53"/>
  <c r="A234" s="1"/>
  <c r="A98"/>
  <c r="A158"/>
  <c r="A226" s="1"/>
  <c r="A90"/>
  <c r="A151"/>
  <c r="A219" s="1"/>
  <c r="A83"/>
  <c r="A139"/>
  <c r="A207" s="1"/>
  <c r="A71"/>
  <c r="A142"/>
  <c r="A210" s="1"/>
  <c r="A74"/>
  <c r="G167" i="72"/>
  <c r="A169" i="53"/>
  <c r="A237" s="1"/>
  <c r="A101"/>
  <c r="A154"/>
  <c r="A222" s="1"/>
  <c r="A86"/>
  <c r="A72"/>
  <c r="A140"/>
  <c r="A208" s="1"/>
  <c r="H28" i="48"/>
  <c r="C173" i="29"/>
  <c r="C34"/>
  <c r="C158"/>
  <c r="C143"/>
  <c r="C128"/>
  <c r="E52" i="61"/>
  <c r="B20" i="21"/>
  <c r="J10" s="1"/>
  <c r="C9" i="53"/>
  <c r="C62" s="1"/>
  <c r="C92" i="81"/>
  <c r="E35" i="48"/>
  <c r="E41" s="1"/>
  <c r="H35"/>
  <c r="F35"/>
  <c r="G35"/>
  <c r="G41" s="1"/>
  <c r="A174" i="53"/>
  <c r="A106"/>
  <c r="D173" i="29"/>
  <c r="D158"/>
  <c r="D143"/>
  <c r="D128"/>
  <c r="D34"/>
  <c r="A63" i="53"/>
  <c r="A131"/>
  <c r="A199" s="1"/>
  <c r="A68"/>
  <c r="A136"/>
  <c r="A204" s="1"/>
  <c r="D36" i="81"/>
  <c r="D34"/>
  <c r="D35"/>
  <c r="F35" s="1"/>
  <c r="H35" s="1"/>
  <c r="D33"/>
  <c r="B70" i="83"/>
  <c r="B98"/>
  <c r="D254" i="55"/>
  <c r="B141"/>
  <c r="D199" s="1"/>
  <c r="B57"/>
  <c r="B114" s="1"/>
  <c r="C68" i="83"/>
  <c r="D55" i="53"/>
  <c r="D108" s="1"/>
  <c r="D124" i="83"/>
  <c r="D26" i="81"/>
  <c r="D30"/>
  <c r="D27"/>
  <c r="D31"/>
  <c r="D24"/>
  <c r="D28"/>
  <c r="D25"/>
  <c r="D29"/>
  <c r="B94"/>
  <c r="F16"/>
  <c r="H16" s="1"/>
  <c r="B106" i="83"/>
  <c r="F18"/>
  <c r="H18" s="1"/>
  <c r="B51"/>
  <c r="C81"/>
  <c r="D141" i="55"/>
  <c r="G199" s="1"/>
  <c r="F254"/>
  <c r="G56" i="22"/>
  <c r="G65" i="57"/>
  <c r="D6" i="62" s="1"/>
  <c r="M12" i="81"/>
  <c r="L14"/>
  <c r="A135" i="53"/>
  <c r="A203" s="1"/>
  <c r="A67"/>
  <c r="I62" i="22"/>
  <c r="E62"/>
  <c r="G62"/>
  <c r="D62"/>
  <c r="F62"/>
  <c r="H62"/>
  <c r="C62"/>
  <c r="C63" s="1"/>
  <c r="K61"/>
  <c r="L14" i="83"/>
  <c r="F74" s="1"/>
  <c r="F13" i="84" s="1"/>
  <c r="M12" i="83"/>
  <c r="A164" i="53"/>
  <c r="A232" s="1"/>
  <c r="A96"/>
  <c r="I21" i="22"/>
  <c r="I17"/>
  <c r="I22"/>
  <c r="I18"/>
  <c r="I19"/>
  <c r="I15"/>
  <c r="I13"/>
  <c r="I11"/>
  <c r="I8"/>
  <c r="I14"/>
  <c r="I16"/>
  <c r="I12"/>
  <c r="I10"/>
  <c r="I20"/>
  <c r="I9"/>
  <c r="G39" i="61"/>
  <c r="A162" i="53"/>
  <c r="A230" s="1"/>
  <c r="A94"/>
  <c r="A143"/>
  <c r="A211" s="1"/>
  <c r="A75"/>
  <c r="C36"/>
  <c r="C89" s="1"/>
  <c r="C105" i="83"/>
  <c r="G27" i="42"/>
  <c r="G28"/>
  <c r="G36"/>
  <c r="G42" s="1"/>
  <c r="H37"/>
  <c r="A172" i="53"/>
  <c r="A104"/>
  <c r="A146"/>
  <c r="A214" s="1"/>
  <c r="A78"/>
  <c r="D36" i="83"/>
  <c r="D35"/>
  <c r="D34"/>
  <c r="D33"/>
  <c r="A76" i="53"/>
  <c r="A144"/>
  <c r="A212" s="1"/>
  <c r="B93" i="81"/>
  <c r="F15"/>
  <c r="H15" s="1"/>
  <c r="B98"/>
  <c r="F20"/>
  <c r="H20" s="1"/>
  <c r="B42"/>
  <c r="B42" i="55"/>
  <c r="B99" s="1"/>
  <c r="C53" i="83"/>
  <c r="C141" i="55"/>
  <c r="E254"/>
  <c r="F141"/>
  <c r="D38" i="53"/>
  <c r="D91" s="1"/>
  <c r="D107" i="83"/>
  <c r="D40" i="53"/>
  <c r="D93" s="1"/>
  <c r="D109" i="83"/>
  <c r="A126"/>
  <c r="A57" i="53" s="1"/>
  <c r="A37" i="84"/>
  <c r="A65" s="1"/>
  <c r="A135" s="1"/>
  <c r="A103" i="53"/>
  <c r="A171"/>
  <c r="A239" s="1"/>
  <c r="A95"/>
  <c r="A163"/>
  <c r="A231" s="1"/>
  <c r="A87"/>
  <c r="A155"/>
  <c r="A223" s="1"/>
  <c r="A176"/>
  <c r="A241" s="1"/>
  <c r="A108"/>
  <c r="G290" i="55"/>
  <c r="G280"/>
  <c r="G255"/>
  <c r="G279"/>
  <c r="G215" i="53"/>
  <c r="G244"/>
  <c r="G267"/>
  <c r="G268"/>
  <c r="G269"/>
  <c r="G266"/>
  <c r="G206"/>
  <c r="A175"/>
  <c r="A240" s="1"/>
  <c r="A107"/>
  <c r="F40" i="84"/>
  <c r="E41"/>
  <c r="E44" s="1"/>
  <c r="A133" i="53"/>
  <c r="A201" s="1"/>
  <c r="A65"/>
  <c r="E33" i="72"/>
  <c r="D34"/>
  <c r="G221" i="55"/>
  <c r="A62" i="53"/>
  <c r="A130"/>
  <c r="A198" s="1"/>
  <c r="D242" l="1"/>
  <c r="A88"/>
  <c r="C96" i="83"/>
  <c r="B49"/>
  <c r="D44" i="42"/>
  <c r="D46" s="1"/>
  <c r="F42"/>
  <c r="D30" i="21" s="1"/>
  <c r="H41" i="48"/>
  <c r="E21" i="21" s="1"/>
  <c r="H31" i="48"/>
  <c r="H36" i="61" s="1"/>
  <c r="F33" i="42"/>
  <c r="D20" i="21" s="1"/>
  <c r="L10" s="1"/>
  <c r="E44" i="42"/>
  <c r="E46" s="1"/>
  <c r="D205" i="53"/>
  <c r="H23" i="22"/>
  <c r="E35" i="21" s="1"/>
  <c r="F111" i="29"/>
  <c r="F61"/>
  <c r="G97"/>
  <c r="F41" i="48"/>
  <c r="C21" i="21" s="1"/>
  <c r="F31" i="48"/>
  <c r="D95" i="81"/>
  <c r="E12" i="53" s="1"/>
  <c r="E65" s="1"/>
  <c r="B70" i="81"/>
  <c r="B45"/>
  <c r="B54" i="83"/>
  <c r="B82"/>
  <c r="C41" i="53"/>
  <c r="C94" s="1"/>
  <c r="C110" i="83"/>
  <c r="C56" i="22"/>
  <c r="C57" s="1"/>
  <c r="F56"/>
  <c r="H56"/>
  <c r="K49"/>
  <c r="H50"/>
  <c r="I50"/>
  <c r="D50"/>
  <c r="F50"/>
  <c r="C50"/>
  <c r="C51" s="1"/>
  <c r="D35" i="21"/>
  <c r="D32"/>
  <c r="C32"/>
  <c r="E31"/>
  <c r="F49" i="61"/>
  <c r="H49"/>
  <c r="G49"/>
  <c r="E30" i="21"/>
  <c r="E10"/>
  <c r="F52" i="61"/>
  <c r="B74" i="83"/>
  <c r="B13" i="84" s="1"/>
  <c r="B44" s="1"/>
  <c r="B46" i="83"/>
  <c r="B47"/>
  <c r="B75"/>
  <c r="F29"/>
  <c r="H29" s="1"/>
  <c r="B116"/>
  <c r="F27"/>
  <c r="H27" s="1"/>
  <c r="B114"/>
  <c r="C33" i="53"/>
  <c r="C86" s="1"/>
  <c r="C102" i="83"/>
  <c r="C34" i="53"/>
  <c r="C87" s="1"/>
  <c r="C103" i="83"/>
  <c r="F25"/>
  <c r="H25" s="1"/>
  <c r="B112"/>
  <c r="B111"/>
  <c r="F24"/>
  <c r="H24" s="1"/>
  <c r="B80"/>
  <c r="B52"/>
  <c r="F26"/>
  <c r="H26" s="1"/>
  <c r="B113"/>
  <c r="F31"/>
  <c r="H31" s="1"/>
  <c r="B118"/>
  <c r="F28"/>
  <c r="H28" s="1"/>
  <c r="B115"/>
  <c r="F30"/>
  <c r="H30" s="1"/>
  <c r="B117"/>
  <c r="C39" i="53"/>
  <c r="C92" s="1"/>
  <c r="C108" i="83"/>
  <c r="E111" i="29"/>
  <c r="F97"/>
  <c r="E61"/>
  <c r="F12"/>
  <c r="D18" i="69"/>
  <c r="E18" s="1"/>
  <c r="F18" s="1"/>
  <c r="G18" s="1"/>
  <c r="H18" s="1"/>
  <c r="D56" i="22"/>
  <c r="E56"/>
  <c r="I56"/>
  <c r="G50"/>
  <c r="F185" i="84"/>
  <c r="B20" i="72"/>
  <c r="B44" s="1"/>
  <c r="C74" i="81"/>
  <c r="B19" i="55"/>
  <c r="B76" s="1"/>
  <c r="C50" i="81"/>
  <c r="B58" i="55"/>
  <c r="B115" s="1"/>
  <c r="C69" i="83"/>
  <c r="B18" i="55"/>
  <c r="B75" s="1"/>
  <c r="C49" i="81"/>
  <c r="F10" i="42"/>
  <c r="H21" s="1"/>
  <c r="H23" s="1"/>
  <c r="G9"/>
  <c r="A109" i="53"/>
  <c r="A177"/>
  <c r="A242" s="1"/>
  <c r="B21" i="72"/>
  <c r="B45" s="1"/>
  <c r="C75" i="81"/>
  <c r="B36" i="84"/>
  <c r="B64" s="1"/>
  <c r="C97" i="83"/>
  <c r="C64" i="22"/>
  <c r="D61" s="1"/>
  <c r="D64" s="1"/>
  <c r="E61" s="1"/>
  <c r="E64" s="1"/>
  <c r="F61" s="1"/>
  <c r="F64" s="1"/>
  <c r="G61" s="1"/>
  <c r="G64" s="1"/>
  <c r="H61" s="1"/>
  <c r="H64" s="1"/>
  <c r="I61" s="1"/>
  <c r="I64" s="1"/>
  <c r="K50"/>
  <c r="K51" s="1"/>
  <c r="D11" i="21"/>
  <c r="G36" i="61"/>
  <c r="H254" i="55"/>
  <c r="B50" i="83"/>
  <c r="B78"/>
  <c r="B106" i="81"/>
  <c r="F29"/>
  <c r="H29" s="1"/>
  <c r="B108"/>
  <c r="F31"/>
  <c r="H31" s="1"/>
  <c r="E124" i="83"/>
  <c r="E55" i="53"/>
  <c r="E108" s="1"/>
  <c r="F176" s="1"/>
  <c r="C57" i="55"/>
  <c r="C114" s="1"/>
  <c r="D68" i="83"/>
  <c r="D21" i="21"/>
  <c r="G49" i="48"/>
  <c r="G51" s="1"/>
  <c r="D130" i="53"/>
  <c r="D198"/>
  <c r="E205"/>
  <c r="E137"/>
  <c r="C54"/>
  <c r="C107" s="1"/>
  <c r="C123" i="83"/>
  <c r="E35" i="53"/>
  <c r="E88" s="1"/>
  <c r="F156" s="1"/>
  <c r="E104" i="83"/>
  <c r="E219" i="53"/>
  <c r="E151"/>
  <c r="B46" i="84"/>
  <c r="C14" i="53"/>
  <c r="C67" s="1"/>
  <c r="C97" i="81"/>
  <c r="G274" i="53"/>
  <c r="E229"/>
  <c r="E161"/>
  <c r="E159"/>
  <c r="E227"/>
  <c r="H199" i="55"/>
  <c r="C15" i="53"/>
  <c r="C68" s="1"/>
  <c r="C98" i="81"/>
  <c r="F36" i="83"/>
  <c r="H36" s="1"/>
  <c r="B122"/>
  <c r="G33" i="42"/>
  <c r="D157" i="53"/>
  <c r="D225"/>
  <c r="M14" i="83"/>
  <c r="G74" s="1"/>
  <c r="G13" i="84" s="1"/>
  <c r="N12" i="83"/>
  <c r="N14" s="1"/>
  <c r="H74" s="1"/>
  <c r="H13" i="84" s="1"/>
  <c r="K62" i="22"/>
  <c r="K63" s="1"/>
  <c r="D63"/>
  <c r="E63" s="1"/>
  <c r="F63" s="1"/>
  <c r="G63" s="1"/>
  <c r="H63" s="1"/>
  <c r="I63" s="1"/>
  <c r="K56"/>
  <c r="K57" s="1"/>
  <c r="E201" i="53"/>
  <c r="E133"/>
  <c r="C37"/>
  <c r="C90" s="1"/>
  <c r="C106" i="83"/>
  <c r="B102" i="81"/>
  <c r="F25"/>
  <c r="H25" s="1"/>
  <c r="B104"/>
  <c r="F27"/>
  <c r="H27" s="1"/>
  <c r="E241" i="53"/>
  <c r="E176"/>
  <c r="B166" i="55"/>
  <c r="D225" s="1"/>
  <c r="D276"/>
  <c r="B61" i="81"/>
  <c r="B86"/>
  <c r="C86" s="1"/>
  <c r="D86" s="1"/>
  <c r="E86" s="1"/>
  <c r="F86" s="1"/>
  <c r="G86" s="1"/>
  <c r="H86" s="1"/>
  <c r="B16" i="84"/>
  <c r="B47" s="1"/>
  <c r="C77" i="83"/>
  <c r="I27" i="48"/>
  <c r="I25"/>
  <c r="I29"/>
  <c r="I44"/>
  <c r="I48" s="1"/>
  <c r="I30"/>
  <c r="I36"/>
  <c r="I41" s="1"/>
  <c r="I26"/>
  <c r="I24"/>
  <c r="I28"/>
  <c r="E56" i="53"/>
  <c r="E109" s="1"/>
  <c r="F177" s="1"/>
  <c r="E125" i="83"/>
  <c r="C37" i="55"/>
  <c r="C94" s="1"/>
  <c r="D48" i="83"/>
  <c r="B46" i="81"/>
  <c r="B71"/>
  <c r="E224" i="53"/>
  <c r="E156"/>
  <c r="C35" i="84"/>
  <c r="C63" s="1"/>
  <c r="D96" i="83"/>
  <c r="E36" i="61"/>
  <c r="B11" i="21"/>
  <c r="E40" i="53"/>
  <c r="E93" s="1"/>
  <c r="F161" s="1"/>
  <c r="E109" i="83"/>
  <c r="F35"/>
  <c r="H35" s="1"/>
  <c r="B121"/>
  <c r="D36" i="53"/>
  <c r="D89" s="1"/>
  <c r="D105" i="83"/>
  <c r="C43" i="22"/>
  <c r="F6" i="62"/>
  <c r="C17" i="68"/>
  <c r="F33" i="81"/>
  <c r="H33" s="1"/>
  <c r="B109"/>
  <c r="C109" s="1"/>
  <c r="D109" s="1"/>
  <c r="E109" s="1"/>
  <c r="F109" s="1"/>
  <c r="G109" s="1"/>
  <c r="H109" s="1"/>
  <c r="G40" i="84"/>
  <c r="F41"/>
  <c r="F44" s="1"/>
  <c r="A110" i="53"/>
  <c r="A178"/>
  <c r="A243" s="1"/>
  <c r="E199" i="55"/>
  <c r="B13" i="72"/>
  <c r="C67" i="81"/>
  <c r="C20" i="84"/>
  <c r="C51" s="1"/>
  <c r="D81" i="83"/>
  <c r="B18" i="84"/>
  <c r="B49" s="1"/>
  <c r="C79" i="83"/>
  <c r="B44" i="81"/>
  <c r="B69"/>
  <c r="B105"/>
  <c r="F28"/>
  <c r="H28" s="1"/>
  <c r="B107"/>
  <c r="F30"/>
  <c r="H30" s="1"/>
  <c r="B37" i="84"/>
  <c r="B65" s="1"/>
  <c r="C98" i="83"/>
  <c r="B110" i="81"/>
  <c r="B111"/>
  <c r="F34"/>
  <c r="H34" s="1"/>
  <c r="F49" i="48"/>
  <c r="B21" i="21"/>
  <c r="E49" i="61"/>
  <c r="E49" i="48"/>
  <c r="E51" s="1"/>
  <c r="B38" i="55"/>
  <c r="B95" s="1"/>
  <c r="C49" i="83"/>
  <c r="H167" i="72"/>
  <c r="E177" i="53"/>
  <c r="E242"/>
  <c r="B94" i="55"/>
  <c r="C13" i="53"/>
  <c r="C66" s="1"/>
  <c r="C96" i="81"/>
  <c r="A149" i="53"/>
  <c r="A217" s="1"/>
  <c r="A81"/>
  <c r="E57"/>
  <c r="E110" s="1"/>
  <c r="F178" s="1"/>
  <c r="E126" i="83"/>
  <c r="H290" i="55"/>
  <c r="H280"/>
  <c r="H279"/>
  <c r="H255"/>
  <c r="I199"/>
  <c r="H221"/>
  <c r="H223"/>
  <c r="H222"/>
  <c r="E38" i="53"/>
  <c r="E91" s="1"/>
  <c r="F159" s="1"/>
  <c r="E107" i="83"/>
  <c r="B48" i="81"/>
  <c r="B73"/>
  <c r="F33" i="72"/>
  <c r="E34"/>
  <c r="H206" i="53"/>
  <c r="H269"/>
  <c r="H215"/>
  <c r="H266"/>
  <c r="H244"/>
  <c r="H267"/>
  <c r="H268"/>
  <c r="H152"/>
  <c r="H220"/>
  <c r="E11" i="21"/>
  <c r="D53" i="83"/>
  <c r="C42" i="55"/>
  <c r="C99" s="1"/>
  <c r="B43" i="81"/>
  <c r="B68"/>
  <c r="F33" i="83"/>
  <c r="H33" s="1"/>
  <c r="B119"/>
  <c r="I37" i="42"/>
  <c r="H27"/>
  <c r="H28"/>
  <c r="H36"/>
  <c r="H38"/>
  <c r="D264" i="55"/>
  <c r="B151"/>
  <c r="D210" s="1"/>
  <c r="B11"/>
  <c r="C42" i="81"/>
  <c r="C10" i="53"/>
  <c r="C63" s="1"/>
  <c r="C93" i="81"/>
  <c r="F34" i="83"/>
  <c r="H34" s="1"/>
  <c r="B120"/>
  <c r="E158" i="29"/>
  <c r="E143"/>
  <c r="E128"/>
  <c r="E173"/>
  <c r="E34"/>
  <c r="I23" i="22"/>
  <c r="J22"/>
  <c r="J18"/>
  <c r="J19"/>
  <c r="J20"/>
  <c r="J16"/>
  <c r="J21"/>
  <c r="J13"/>
  <c r="J12"/>
  <c r="J11"/>
  <c r="J10"/>
  <c r="J17"/>
  <c r="J8"/>
  <c r="J9"/>
  <c r="J14"/>
  <c r="J15"/>
  <c r="M14" i="81"/>
  <c r="N12"/>
  <c r="N14" s="1"/>
  <c r="F199" i="55"/>
  <c r="B40"/>
  <c r="B97" s="1"/>
  <c r="C51" i="83"/>
  <c r="C11" i="53"/>
  <c r="C64" s="1"/>
  <c r="C94" i="81"/>
  <c r="B101"/>
  <c r="F24"/>
  <c r="H24" s="1"/>
  <c r="B103"/>
  <c r="F26"/>
  <c r="H26" s="1"/>
  <c r="B59" i="55"/>
  <c r="B116" s="1"/>
  <c r="C70" i="83"/>
  <c r="B112" i="81"/>
  <c r="F36"/>
  <c r="H36" s="1"/>
  <c r="H49" i="48"/>
  <c r="H51" s="1"/>
  <c r="D9" i="53"/>
  <c r="D62" s="1"/>
  <c r="E130" s="1"/>
  <c r="D92" i="81"/>
  <c r="F36" i="61"/>
  <c r="E16" i="53"/>
  <c r="E69" s="1"/>
  <c r="E99" i="81"/>
  <c r="B95" i="83"/>
  <c r="B67"/>
  <c r="G180" i="84"/>
  <c r="G181"/>
  <c r="E178" i="53"/>
  <c r="E243"/>
  <c r="E30"/>
  <c r="E83" s="1"/>
  <c r="E113" i="81"/>
  <c r="C15" i="84"/>
  <c r="C46" s="1"/>
  <c r="D76" i="83"/>
  <c r="B47" i="81"/>
  <c r="B72"/>
  <c r="G52" i="61" l="1"/>
  <c r="H42" i="42"/>
  <c r="L11" i="21"/>
  <c r="M11"/>
  <c r="J11"/>
  <c r="F44" i="42"/>
  <c r="F46" s="1"/>
  <c r="F34" i="29"/>
  <c r="C11" i="21"/>
  <c r="K11" s="1"/>
  <c r="F51" i="48"/>
  <c r="E95" i="81"/>
  <c r="F12" i="53" s="1"/>
  <c r="F65" s="1"/>
  <c r="D57" i="22"/>
  <c r="E57" s="1"/>
  <c r="F57" s="1"/>
  <c r="G57" s="1"/>
  <c r="H57" s="1"/>
  <c r="I57" s="1"/>
  <c r="F173" i="29"/>
  <c r="F158"/>
  <c r="B14" i="55"/>
  <c r="B71" s="1"/>
  <c r="C45" i="81"/>
  <c r="B16" i="72"/>
  <c r="B40" s="1"/>
  <c r="C70" i="81"/>
  <c r="D41" i="53"/>
  <c r="D94" s="1"/>
  <c r="D110" i="83"/>
  <c r="D162" i="53"/>
  <c r="D230"/>
  <c r="B21" i="84"/>
  <c r="B52" s="1"/>
  <c r="C82" i="83"/>
  <c r="B43" i="55"/>
  <c r="B100" s="1"/>
  <c r="C54" i="83"/>
  <c r="C58" i="22"/>
  <c r="D55" s="1"/>
  <c r="D58" s="1"/>
  <c r="E55" s="1"/>
  <c r="E58" s="1"/>
  <c r="F55" s="1"/>
  <c r="F58" s="1"/>
  <c r="G55" s="1"/>
  <c r="G58" s="1"/>
  <c r="H55" s="1"/>
  <c r="H58" s="1"/>
  <c r="I55" s="1"/>
  <c r="I58" s="1"/>
  <c r="F143" i="29"/>
  <c r="F128"/>
  <c r="D51" i="22"/>
  <c r="E51" s="1"/>
  <c r="F51" s="1"/>
  <c r="C52"/>
  <c r="D49" s="1"/>
  <c r="D52" s="1"/>
  <c r="E49" s="1"/>
  <c r="F35" i="21"/>
  <c r="D33"/>
  <c r="E32"/>
  <c r="F31"/>
  <c r="I49" i="61"/>
  <c r="F30" i="21"/>
  <c r="H52" i="61"/>
  <c r="D39" i="53"/>
  <c r="D92" s="1"/>
  <c r="D108" i="83"/>
  <c r="B55"/>
  <c r="B83"/>
  <c r="B14" i="84"/>
  <c r="B45" s="1"/>
  <c r="C75" i="83"/>
  <c r="B59"/>
  <c r="B87"/>
  <c r="C42" i="53"/>
  <c r="C95" s="1"/>
  <c r="C111" i="83"/>
  <c r="B58"/>
  <c r="B86"/>
  <c r="B41" i="55"/>
  <c r="B98" s="1"/>
  <c r="C52" i="83"/>
  <c r="C46" i="53"/>
  <c r="C99" s="1"/>
  <c r="C115" i="83"/>
  <c r="C44" i="53"/>
  <c r="C97" s="1"/>
  <c r="C113" i="83"/>
  <c r="D34" i="53"/>
  <c r="D87" s="1"/>
  <c r="D103" i="83"/>
  <c r="C45" i="53"/>
  <c r="C98" s="1"/>
  <c r="C114" i="83"/>
  <c r="D160" i="53"/>
  <c r="D228"/>
  <c r="B57" i="83"/>
  <c r="B85"/>
  <c r="D155" i="53"/>
  <c r="D223"/>
  <c r="B36" i="55"/>
  <c r="B93" s="1"/>
  <c r="C47" i="83"/>
  <c r="C48" i="53"/>
  <c r="C101" s="1"/>
  <c r="C117" i="83"/>
  <c r="C49" i="53"/>
  <c r="C102" s="1"/>
  <c r="C118" i="83"/>
  <c r="C43" i="53"/>
  <c r="C96" s="1"/>
  <c r="C112" i="83"/>
  <c r="D33" i="53"/>
  <c r="D86" s="1"/>
  <c r="D102" i="83"/>
  <c r="C47" i="53"/>
  <c r="C100" s="1"/>
  <c r="C116" i="83"/>
  <c r="B35" i="55"/>
  <c r="B92" s="1"/>
  <c r="C46" i="83"/>
  <c r="B61"/>
  <c r="B89"/>
  <c r="B90"/>
  <c r="B62"/>
  <c r="B19" i="84"/>
  <c r="B50" s="1"/>
  <c r="C80" i="83"/>
  <c r="B56"/>
  <c r="B84"/>
  <c r="D154" i="53"/>
  <c r="D222"/>
  <c r="B60" i="83"/>
  <c r="B88"/>
  <c r="C21" i="72"/>
  <c r="C45" s="1"/>
  <c r="D75" i="81"/>
  <c r="G10" i="42"/>
  <c r="I21" s="1"/>
  <c r="I23" s="1"/>
  <c r="H9"/>
  <c r="H10" s="1"/>
  <c r="B167" i="55"/>
  <c r="D226" s="1"/>
  <c r="D277"/>
  <c r="B128"/>
  <c r="D186" s="1"/>
  <c r="D241"/>
  <c r="D49" i="81"/>
  <c r="C18" i="55"/>
  <c r="C75" s="1"/>
  <c r="C20" i="72"/>
  <c r="C44" s="1"/>
  <c r="D74" i="81"/>
  <c r="K64" i="22"/>
  <c r="L61" s="1"/>
  <c r="L62" s="1"/>
  <c r="L63" s="1"/>
  <c r="K52"/>
  <c r="L49" s="1"/>
  <c r="L50" s="1"/>
  <c r="L52" s="1"/>
  <c r="M49" s="1"/>
  <c r="D97" i="83"/>
  <c r="C36" i="84"/>
  <c r="C64" s="1"/>
  <c r="B127" i="55"/>
  <c r="D185" s="1"/>
  <c r="D240"/>
  <c r="C58"/>
  <c r="C115" s="1"/>
  <c r="D69" i="83"/>
  <c r="C19" i="55"/>
  <c r="C76" s="1"/>
  <c r="D50" i="81"/>
  <c r="F137" i="53"/>
  <c r="F205"/>
  <c r="E198"/>
  <c r="B53" i="81"/>
  <c r="B78"/>
  <c r="E157" i="53"/>
  <c r="E225"/>
  <c r="B52" i="81"/>
  <c r="B77"/>
  <c r="D57" i="55"/>
  <c r="D114" s="1"/>
  <c r="E68" i="83"/>
  <c r="B58" i="81"/>
  <c r="B83"/>
  <c r="B17" i="84"/>
  <c r="B48" s="1"/>
  <c r="C78" i="83"/>
  <c r="D278" i="55"/>
  <c r="B168"/>
  <c r="D227" s="1"/>
  <c r="C20" i="53"/>
  <c r="C73" s="1"/>
  <c r="C103" i="81"/>
  <c r="C51" i="53"/>
  <c r="C104" s="1"/>
  <c r="D172" s="1"/>
  <c r="C120" i="83"/>
  <c r="D10" i="53"/>
  <c r="D63" s="1"/>
  <c r="D93" i="81"/>
  <c r="C50" i="53"/>
  <c r="C103" s="1"/>
  <c r="C119" i="83"/>
  <c r="B14" i="72"/>
  <c r="B38" s="1"/>
  <c r="C68" i="81"/>
  <c r="H274" i="53"/>
  <c r="F34" i="72"/>
  <c r="G33"/>
  <c r="F57" i="53"/>
  <c r="F110" s="1"/>
  <c r="G178" s="1"/>
  <c r="F126" i="83"/>
  <c r="D13" i="53"/>
  <c r="D66" s="1"/>
  <c r="D96" i="81"/>
  <c r="I167" i="72"/>
  <c r="B147" i="55"/>
  <c r="D206" s="1"/>
  <c r="D260"/>
  <c r="C37" i="84"/>
  <c r="C65" s="1"/>
  <c r="D98" i="83"/>
  <c r="B57" i="81"/>
  <c r="B82"/>
  <c r="B15" i="72"/>
  <c r="B39" s="1"/>
  <c r="C69" i="81"/>
  <c r="E81" i="83"/>
  <c r="D20" i="84"/>
  <c r="D51" s="1"/>
  <c r="G41"/>
  <c r="G44" s="1"/>
  <c r="H40"/>
  <c r="H41" s="1"/>
  <c r="H44" s="1"/>
  <c r="F133" i="53"/>
  <c r="F201"/>
  <c r="C52"/>
  <c r="C105" s="1"/>
  <c r="D173" s="1"/>
  <c r="C121" i="83"/>
  <c r="C146" i="55"/>
  <c r="E259"/>
  <c r="B30"/>
  <c r="B87" s="1"/>
  <c r="C61" i="81"/>
  <c r="C19" i="53"/>
  <c r="C72" s="1"/>
  <c r="C102" i="81"/>
  <c r="K58" i="22"/>
  <c r="L55" s="1"/>
  <c r="B66" i="83"/>
  <c r="C66" s="1"/>
  <c r="D66" s="1"/>
  <c r="E66" s="1"/>
  <c r="F66" s="1"/>
  <c r="G66" s="1"/>
  <c r="H66" s="1"/>
  <c r="B94"/>
  <c r="D15" i="53"/>
  <c r="D68" s="1"/>
  <c r="D98" i="81"/>
  <c r="D14" i="53"/>
  <c r="D67" s="1"/>
  <c r="D97" i="81"/>
  <c r="D54" i="53"/>
  <c r="D107" s="1"/>
  <c r="D123" i="83"/>
  <c r="C166" i="55"/>
  <c r="E225" s="1"/>
  <c r="E276"/>
  <c r="C25" i="53"/>
  <c r="C78" s="1"/>
  <c r="C108" i="81"/>
  <c r="B39" i="55"/>
  <c r="B96" s="1"/>
  <c r="C50" i="83"/>
  <c r="E35" i="29"/>
  <c r="E174"/>
  <c r="E159"/>
  <c r="E144"/>
  <c r="E129"/>
  <c r="I27" i="42"/>
  <c r="J37"/>
  <c r="I28"/>
  <c r="I36"/>
  <c r="I42" s="1"/>
  <c r="I38"/>
  <c r="D259" i="55"/>
  <c r="B146"/>
  <c r="D205" s="1"/>
  <c r="F229" i="53"/>
  <c r="E48" i="83"/>
  <c r="D37" i="55"/>
  <c r="D94" s="1"/>
  <c r="G185" i="84"/>
  <c r="B56" i="55"/>
  <c r="B113" s="1"/>
  <c r="C67" i="83"/>
  <c r="D132" i="53"/>
  <c r="D200"/>
  <c r="B18" i="72"/>
  <c r="B42" s="1"/>
  <c r="C72" i="81"/>
  <c r="F113"/>
  <c r="F30" i="53"/>
  <c r="F83" s="1"/>
  <c r="H180" i="84"/>
  <c r="H181"/>
  <c r="B34"/>
  <c r="B62" s="1"/>
  <c r="C95" i="83"/>
  <c r="B62" i="81"/>
  <c r="B87"/>
  <c r="C87" s="1"/>
  <c r="D87" s="1"/>
  <c r="E87" s="1"/>
  <c r="F87" s="1"/>
  <c r="G87" s="1"/>
  <c r="H87" s="1"/>
  <c r="B76"/>
  <c r="B51"/>
  <c r="C40" i="55"/>
  <c r="C97" s="1"/>
  <c r="D51" i="83"/>
  <c r="J23" i="22"/>
  <c r="K19"/>
  <c r="K20"/>
  <c r="K16"/>
  <c r="K21"/>
  <c r="K17"/>
  <c r="K14"/>
  <c r="K12"/>
  <c r="K10"/>
  <c r="K9"/>
  <c r="K11"/>
  <c r="K22"/>
  <c r="K8"/>
  <c r="K15"/>
  <c r="K18"/>
  <c r="K13"/>
  <c r="B64" i="83"/>
  <c r="C64" s="1"/>
  <c r="D64" s="1"/>
  <c r="E64" s="1"/>
  <c r="F64" s="1"/>
  <c r="G64" s="1"/>
  <c r="H64" s="1"/>
  <c r="B92"/>
  <c r="D131" i="53"/>
  <c r="D199"/>
  <c r="B63" i="83"/>
  <c r="B91"/>
  <c r="B12" i="55"/>
  <c r="B69" s="1"/>
  <c r="C43" i="81"/>
  <c r="F35" i="29"/>
  <c r="F174"/>
  <c r="F129"/>
  <c r="F159"/>
  <c r="F144"/>
  <c r="B19" i="72"/>
  <c r="B43" s="1"/>
  <c r="C73" i="81"/>
  <c r="F38" i="53"/>
  <c r="F91" s="1"/>
  <c r="G159" s="1"/>
  <c r="F107" i="83"/>
  <c r="I290" i="55"/>
  <c r="I280"/>
  <c r="I255"/>
  <c r="I279"/>
  <c r="I254"/>
  <c r="I221"/>
  <c r="I223"/>
  <c r="I222"/>
  <c r="F243" i="53"/>
  <c r="D134"/>
  <c r="D202"/>
  <c r="B85" i="81"/>
  <c r="B60"/>
  <c r="C24" i="53"/>
  <c r="C77" s="1"/>
  <c r="C107" i="81"/>
  <c r="B13" i="55"/>
  <c r="B70" s="1"/>
  <c r="C44" i="81"/>
  <c r="C13" i="72"/>
  <c r="D67" i="81"/>
  <c r="D44" i="22"/>
  <c r="F44"/>
  <c r="H44"/>
  <c r="I44"/>
  <c r="K43"/>
  <c r="C44"/>
  <c r="C46" s="1"/>
  <c r="E44"/>
  <c r="G44"/>
  <c r="B65" i="83"/>
  <c r="C65" s="1"/>
  <c r="D65" s="1"/>
  <c r="E65" s="1"/>
  <c r="F65" s="1"/>
  <c r="G65" s="1"/>
  <c r="H65" s="1"/>
  <c r="B93"/>
  <c r="C174" i="29"/>
  <c r="C129"/>
  <c r="C35"/>
  <c r="C144"/>
  <c r="C159"/>
  <c r="B17" i="72"/>
  <c r="B41" s="1"/>
  <c r="C71" i="81"/>
  <c r="I31" i="48"/>
  <c r="B79" i="81"/>
  <c r="B54"/>
  <c r="D37" i="53"/>
  <c r="D90" s="1"/>
  <c r="D106" i="83"/>
  <c r="D136" i="53"/>
  <c r="D204"/>
  <c r="D135"/>
  <c r="D203"/>
  <c r="D175"/>
  <c r="D240"/>
  <c r="F241"/>
  <c r="B56" i="81"/>
  <c r="B81"/>
  <c r="D15" i="84"/>
  <c r="D46" s="1"/>
  <c r="E76" i="83"/>
  <c r="C59" i="55"/>
  <c r="C116" s="1"/>
  <c r="D70" i="83"/>
  <c r="D11" i="53"/>
  <c r="D64" s="1"/>
  <c r="D94" i="81"/>
  <c r="B68" i="55"/>
  <c r="D233" s="1"/>
  <c r="D42"/>
  <c r="D99" s="1"/>
  <c r="E53" i="83"/>
  <c r="C38" i="55"/>
  <c r="C95" s="1"/>
  <c r="D49" i="83"/>
  <c r="C27" i="53"/>
  <c r="C80" s="1"/>
  <c r="C110" i="81"/>
  <c r="C22" i="53"/>
  <c r="C75" s="1"/>
  <c r="C105" i="81"/>
  <c r="F242" i="53"/>
  <c r="C53"/>
  <c r="C106" s="1"/>
  <c r="D174" s="1"/>
  <c r="C122" i="83"/>
  <c r="F224" i="53"/>
  <c r="B16" i="55"/>
  <c r="B73" s="1"/>
  <c r="C47" i="81"/>
  <c r="F151" i="53"/>
  <c r="F219"/>
  <c r="F99" i="81"/>
  <c r="F16" i="53"/>
  <c r="F69" s="1"/>
  <c r="E9"/>
  <c r="E62" s="1"/>
  <c r="F130" s="1"/>
  <c r="E92" i="81"/>
  <c r="C29" i="53"/>
  <c r="C82" s="1"/>
  <c r="C112" i="81"/>
  <c r="C18" i="53"/>
  <c r="C71" s="1"/>
  <c r="C101" i="81"/>
  <c r="B149" i="55"/>
  <c r="D208" s="1"/>
  <c r="D262"/>
  <c r="C11"/>
  <c r="D42" i="81"/>
  <c r="I39" i="61"/>
  <c r="F10" i="21"/>
  <c r="H33" i="42"/>
  <c r="C151" i="55"/>
  <c r="E210" s="1"/>
  <c r="E264"/>
  <c r="I244" i="53"/>
  <c r="I267"/>
  <c r="I268"/>
  <c r="I206"/>
  <c r="I269"/>
  <c r="I215"/>
  <c r="I266"/>
  <c r="I220"/>
  <c r="I152"/>
  <c r="B17" i="55"/>
  <c r="B74" s="1"/>
  <c r="C48" i="81"/>
  <c r="F227" i="53"/>
  <c r="C28"/>
  <c r="C81" s="1"/>
  <c r="C111" i="81"/>
  <c r="B80"/>
  <c r="B55"/>
  <c r="C18" i="84"/>
  <c r="C49" s="1"/>
  <c r="D79" i="83"/>
  <c r="B37" i="72"/>
  <c r="B59" i="81"/>
  <c r="B84"/>
  <c r="E36" i="53"/>
  <c r="E89" s="1"/>
  <c r="F157" s="1"/>
  <c r="E105" i="83"/>
  <c r="F109"/>
  <c r="F40" i="53"/>
  <c r="F93" s="1"/>
  <c r="G161" s="1"/>
  <c r="D35" i="84"/>
  <c r="D63" s="1"/>
  <c r="E96" i="83"/>
  <c r="C46" i="81"/>
  <c r="B15" i="55"/>
  <c r="B72" s="1"/>
  <c r="F56" i="53"/>
  <c r="F109" s="1"/>
  <c r="G177" s="1"/>
  <c r="F125" i="83"/>
  <c r="J27" i="48"/>
  <c r="J44"/>
  <c r="J48" s="1"/>
  <c r="J25"/>
  <c r="J29"/>
  <c r="J30"/>
  <c r="J26"/>
  <c r="J28"/>
  <c r="J36"/>
  <c r="J24"/>
  <c r="J35"/>
  <c r="C16" i="84"/>
  <c r="C47" s="1"/>
  <c r="D77" i="83"/>
  <c r="F21" i="21"/>
  <c r="I49" i="48"/>
  <c r="C21" i="53"/>
  <c r="C74" s="1"/>
  <c r="C104" i="81"/>
  <c r="D158" i="53"/>
  <c r="D226"/>
  <c r="E20" i="21"/>
  <c r="M10" s="1"/>
  <c r="G44" i="42"/>
  <c r="G46" s="1"/>
  <c r="F104" i="83"/>
  <c r="F35" i="53"/>
  <c r="F88" s="1"/>
  <c r="G156" s="1"/>
  <c r="F124" i="83"/>
  <c r="F55" i="53"/>
  <c r="F108" s="1"/>
  <c r="G176" s="1"/>
  <c r="C23"/>
  <c r="C76" s="1"/>
  <c r="C106" i="81"/>
  <c r="F95" l="1"/>
  <c r="D35" i="29"/>
  <c r="D144"/>
  <c r="D174"/>
  <c r="D129"/>
  <c r="D159"/>
  <c r="J41" i="48"/>
  <c r="J49" i="61" s="1"/>
  <c r="D70" i="81"/>
  <c r="C16" i="72"/>
  <c r="C40" s="1"/>
  <c r="D155"/>
  <c r="B71"/>
  <c r="B70"/>
  <c r="D142" s="1"/>
  <c r="C14" i="55"/>
  <c r="C71" s="1"/>
  <c r="D45" i="81"/>
  <c r="D236" i="55"/>
  <c r="B123"/>
  <c r="D181" s="1"/>
  <c r="B152"/>
  <c r="D211" s="1"/>
  <c r="D265"/>
  <c r="C21" i="84"/>
  <c r="C52" s="1"/>
  <c r="D82" i="83"/>
  <c r="E41" i="53"/>
  <c r="E94" s="1"/>
  <c r="E110" i="83"/>
  <c r="C43" i="55"/>
  <c r="C100" s="1"/>
  <c r="D54" i="83"/>
  <c r="E162" i="53"/>
  <c r="E230"/>
  <c r="G35" i="21"/>
  <c r="E33"/>
  <c r="F32"/>
  <c r="G31"/>
  <c r="G30"/>
  <c r="I52" i="61"/>
  <c r="D80" i="83"/>
  <c r="C19" i="84"/>
  <c r="C50" s="1"/>
  <c r="D47" i="53"/>
  <c r="D100" s="1"/>
  <c r="D116" i="83"/>
  <c r="D117"/>
  <c r="D48" i="53"/>
  <c r="D101" s="1"/>
  <c r="D115" i="83"/>
  <c r="D46" i="53"/>
  <c r="D99" s="1"/>
  <c r="B22" i="84"/>
  <c r="B53" s="1"/>
  <c r="C83" i="83"/>
  <c r="C88"/>
  <c r="B27" i="84"/>
  <c r="B58" s="1"/>
  <c r="B23"/>
  <c r="B54" s="1"/>
  <c r="C84" i="83"/>
  <c r="C62"/>
  <c r="B51" i="55"/>
  <c r="B108" s="1"/>
  <c r="C35"/>
  <c r="C92" s="1"/>
  <c r="D46" i="83"/>
  <c r="E102"/>
  <c r="E33" i="53"/>
  <c r="E86" s="1"/>
  <c r="F154" s="1"/>
  <c r="D49"/>
  <c r="D102" s="1"/>
  <c r="D118" i="83"/>
  <c r="C36" i="55"/>
  <c r="C93" s="1"/>
  <c r="D47" i="83"/>
  <c r="B24" i="84"/>
  <c r="B55" s="1"/>
  <c r="C85" i="83"/>
  <c r="D45" i="53"/>
  <c r="D98" s="1"/>
  <c r="D114" i="83"/>
  <c r="D113"/>
  <c r="D44" i="53"/>
  <c r="D97" s="1"/>
  <c r="C41" i="55"/>
  <c r="C98" s="1"/>
  <c r="D52" i="83"/>
  <c r="D111"/>
  <c r="D42" i="53"/>
  <c r="D95" s="1"/>
  <c r="D75" i="83"/>
  <c r="C14" i="84"/>
  <c r="C45" s="1"/>
  <c r="E39" i="53"/>
  <c r="E92" s="1"/>
  <c r="F160" s="1"/>
  <c r="E108" i="83"/>
  <c r="C89"/>
  <c r="B28" i="84"/>
  <c r="B59" s="1"/>
  <c r="D43" i="53"/>
  <c r="D96" s="1"/>
  <c r="D112" i="83"/>
  <c r="E34" i="53"/>
  <c r="E87" s="1"/>
  <c r="F155" s="1"/>
  <c r="E103" i="83"/>
  <c r="B25" i="84"/>
  <c r="B56" s="1"/>
  <c r="C86" i="83"/>
  <c r="B26" i="84"/>
  <c r="B57" s="1"/>
  <c r="C87" i="83"/>
  <c r="B50" i="55"/>
  <c r="B107" s="1"/>
  <c r="C61" i="83"/>
  <c r="D168" i="53"/>
  <c r="D236"/>
  <c r="D164"/>
  <c r="D232"/>
  <c r="D237"/>
  <c r="D169"/>
  <c r="E155"/>
  <c r="E223"/>
  <c r="D167"/>
  <c r="D235"/>
  <c r="B47" i="55"/>
  <c r="B104" s="1"/>
  <c r="C58" i="83"/>
  <c r="B48" i="55"/>
  <c r="B105" s="1"/>
  <c r="C59" i="83"/>
  <c r="B44" i="55"/>
  <c r="B101" s="1"/>
  <c r="C55" i="83"/>
  <c r="B49" i="55"/>
  <c r="B106" s="1"/>
  <c r="C60" i="83"/>
  <c r="B45" i="55"/>
  <c r="B102" s="1"/>
  <c r="C56" i="83"/>
  <c r="B29" i="84"/>
  <c r="B60" s="1"/>
  <c r="C90" i="83"/>
  <c r="B144" i="55"/>
  <c r="D203" s="1"/>
  <c r="D257"/>
  <c r="E154" i="53"/>
  <c r="E222"/>
  <c r="D238"/>
  <c r="D170"/>
  <c r="B145" i="55"/>
  <c r="D204" s="1"/>
  <c r="D258"/>
  <c r="B46"/>
  <c r="B103" s="1"/>
  <c r="C57" i="83"/>
  <c r="D234" i="53"/>
  <c r="D166"/>
  <c r="D165"/>
  <c r="D233"/>
  <c r="B150" i="55"/>
  <c r="D209" s="1"/>
  <c r="D263"/>
  <c r="D163" i="53"/>
  <c r="D231"/>
  <c r="E160"/>
  <c r="E228"/>
  <c r="L51" i="22"/>
  <c r="L64"/>
  <c r="M61" s="1"/>
  <c r="M62" s="1"/>
  <c r="M63" s="1"/>
  <c r="E277" i="55"/>
  <c r="C167"/>
  <c r="E226" s="1"/>
  <c r="D20" i="72"/>
  <c r="D44" s="1"/>
  <c r="E74" i="81"/>
  <c r="C127" i="55"/>
  <c r="E185" s="1"/>
  <c r="E240"/>
  <c r="D19"/>
  <c r="D76" s="1"/>
  <c r="E50" i="81"/>
  <c r="D36" i="84"/>
  <c r="D64" s="1"/>
  <c r="E97" i="83"/>
  <c r="D18" i="55"/>
  <c r="D75" s="1"/>
  <c r="E49" i="81"/>
  <c r="C128" i="55"/>
  <c r="E186" s="1"/>
  <c r="E241"/>
  <c r="E75" i="81"/>
  <c r="D21" i="72"/>
  <c r="D45" s="1"/>
  <c r="E69" i="83"/>
  <c r="D58" i="55"/>
  <c r="D115" s="1"/>
  <c r="C115" i="53"/>
  <c r="D183" s="1"/>
  <c r="D43" i="22"/>
  <c r="F225" i="53"/>
  <c r="B26" i="72"/>
  <c r="B50" s="1"/>
  <c r="C80" i="81"/>
  <c r="F11" i="21"/>
  <c r="N11" s="1"/>
  <c r="I36" i="61"/>
  <c r="I51" i="48"/>
  <c r="B32" i="84"/>
  <c r="C93" i="83"/>
  <c r="C13" i="55"/>
  <c r="C70" s="1"/>
  <c r="D44" i="81"/>
  <c r="J255" i="55"/>
  <c r="J280"/>
  <c r="J254"/>
  <c r="J290"/>
  <c r="J279"/>
  <c r="J221"/>
  <c r="J223"/>
  <c r="J222"/>
  <c r="J199"/>
  <c r="B30" i="84"/>
  <c r="C91" i="83"/>
  <c r="D40" i="55"/>
  <c r="D97" s="1"/>
  <c r="E51" i="83"/>
  <c r="C34" i="84"/>
  <c r="C62" s="1"/>
  <c r="D95" i="83"/>
  <c r="I180" i="84"/>
  <c r="I181"/>
  <c r="G113" i="81"/>
  <c r="G30" i="53"/>
  <c r="G83" s="1"/>
  <c r="D146" i="55"/>
  <c r="F205" s="1"/>
  <c r="F259"/>
  <c r="G133" i="53"/>
  <c r="G201"/>
  <c r="C39" i="55"/>
  <c r="D50" i="83"/>
  <c r="E175" i="53"/>
  <c r="E240"/>
  <c r="E204"/>
  <c r="E136"/>
  <c r="C30" i="55"/>
  <c r="C87" s="1"/>
  <c r="D61" i="81"/>
  <c r="D121" i="83"/>
  <c r="D52" i="53"/>
  <c r="D105" s="1"/>
  <c r="E173" s="1"/>
  <c r="C15" i="72"/>
  <c r="C39" s="1"/>
  <c r="D69" i="81"/>
  <c r="D37" i="84"/>
  <c r="D65" s="1"/>
  <c r="E98" i="83"/>
  <c r="E13" i="53"/>
  <c r="E66" s="1"/>
  <c r="E96" i="81"/>
  <c r="G57" i="53"/>
  <c r="G110" s="1"/>
  <c r="H178" s="1"/>
  <c r="G126" i="83"/>
  <c r="G34" i="72"/>
  <c r="H33"/>
  <c r="H34" s="1"/>
  <c r="B63"/>
  <c r="D153"/>
  <c r="B64"/>
  <c r="E131" i="53"/>
  <c r="E199"/>
  <c r="D20"/>
  <c r="D73" s="1"/>
  <c r="D103" i="81"/>
  <c r="B27" i="55"/>
  <c r="B84" s="1"/>
  <c r="C58" i="81"/>
  <c r="B21" i="55"/>
  <c r="B78" s="1"/>
  <c r="C52" i="81"/>
  <c r="M50" i="22"/>
  <c r="M52" s="1"/>
  <c r="G241" i="53"/>
  <c r="G224"/>
  <c r="D21"/>
  <c r="D74" s="1"/>
  <c r="D104" i="81"/>
  <c r="B124" i="55"/>
  <c r="D182" s="1"/>
  <c r="D237"/>
  <c r="G229" i="53"/>
  <c r="D18" i="84"/>
  <c r="D49" s="1"/>
  <c r="E79" i="83"/>
  <c r="C17" i="55"/>
  <c r="C74" s="1"/>
  <c r="D48" i="81"/>
  <c r="F20" i="21"/>
  <c r="N10" s="1"/>
  <c r="H44" i="42"/>
  <c r="H46" s="1"/>
  <c r="D11" i="55"/>
  <c r="E42" i="81"/>
  <c r="D29" i="53"/>
  <c r="D82" s="1"/>
  <c r="D112" i="81"/>
  <c r="G137" i="53"/>
  <c r="G205"/>
  <c r="C16" i="55"/>
  <c r="C73" s="1"/>
  <c r="D47" i="81"/>
  <c r="D53" i="53"/>
  <c r="D106" s="1"/>
  <c r="E174" s="1"/>
  <c r="D122" i="83"/>
  <c r="D143" i="53"/>
  <c r="D211"/>
  <c r="E260" i="55"/>
  <c r="C147"/>
  <c r="E206" s="1"/>
  <c r="B120"/>
  <c r="E278"/>
  <c r="C168"/>
  <c r="E227" s="1"/>
  <c r="B27" i="72"/>
  <c r="B51" s="1"/>
  <c r="C81" i="81"/>
  <c r="C79"/>
  <c r="B25" i="72"/>
  <c r="B49" s="1"/>
  <c r="K44" i="22"/>
  <c r="K46" s="1"/>
  <c r="C37" i="72"/>
  <c r="B122" i="55"/>
  <c r="D180" s="1"/>
  <c r="D235"/>
  <c r="B31" i="72"/>
  <c r="B55" s="1"/>
  <c r="C85" i="81"/>
  <c r="G38" i="53"/>
  <c r="G91" s="1"/>
  <c r="H159" s="1"/>
  <c r="G107" i="83"/>
  <c r="B52" i="55"/>
  <c r="C63" i="83"/>
  <c r="E262" i="55"/>
  <c r="C149"/>
  <c r="E208" s="1"/>
  <c r="B31"/>
  <c r="B88" s="1"/>
  <c r="C62" i="81"/>
  <c r="B126" i="84"/>
  <c r="B143" s="1"/>
  <c r="D156" s="1"/>
  <c r="B125"/>
  <c r="B142" s="1"/>
  <c r="D155" s="1"/>
  <c r="D163"/>
  <c r="D164"/>
  <c r="D167"/>
  <c r="B124"/>
  <c r="B141" s="1"/>
  <c r="C18" i="72"/>
  <c r="C42" s="1"/>
  <c r="D72" i="81"/>
  <c r="E37" i="55"/>
  <c r="E94" s="1"/>
  <c r="F48" i="83"/>
  <c r="G12" i="53"/>
  <c r="G65" s="1"/>
  <c r="G95" i="81"/>
  <c r="G10" i="21"/>
  <c r="J39" i="61"/>
  <c r="J27" i="42"/>
  <c r="J36"/>
  <c r="J28"/>
  <c r="J21"/>
  <c r="J23" s="1"/>
  <c r="J38"/>
  <c r="B148" i="55"/>
  <c r="D207" s="1"/>
  <c r="D261"/>
  <c r="E14" i="53"/>
  <c r="E67" s="1"/>
  <c r="E97" i="81"/>
  <c r="B33" i="84"/>
  <c r="C94" i="83"/>
  <c r="L56" i="22"/>
  <c r="L57" s="1"/>
  <c r="D252" i="55"/>
  <c r="B139"/>
  <c r="D197" s="1"/>
  <c r="E202" i="53"/>
  <c r="E134"/>
  <c r="G243"/>
  <c r="D50"/>
  <c r="D103" s="1"/>
  <c r="D119" i="83"/>
  <c r="D51" i="53"/>
  <c r="D104" s="1"/>
  <c r="E172" s="1"/>
  <c r="D120" i="83"/>
  <c r="D141" i="53"/>
  <c r="D209"/>
  <c r="C17" i="84"/>
  <c r="C48" s="1"/>
  <c r="D78" i="83"/>
  <c r="F68"/>
  <c r="E57" i="55"/>
  <c r="E114" s="1"/>
  <c r="B24" i="72"/>
  <c r="B48" s="1"/>
  <c r="C78" i="81"/>
  <c r="D144" i="53"/>
  <c r="D212"/>
  <c r="J49" i="48"/>
  <c r="G242" i="53"/>
  <c r="F198"/>
  <c r="D38" i="55"/>
  <c r="E49" i="83"/>
  <c r="B23" i="55"/>
  <c r="B80" s="1"/>
  <c r="C54" i="81"/>
  <c r="B29" i="55"/>
  <c r="B86" s="1"/>
  <c r="C60" i="81"/>
  <c r="D16" i="84"/>
  <c r="E77" i="83"/>
  <c r="G40" i="53"/>
  <c r="G93" s="1"/>
  <c r="H161" s="1"/>
  <c r="G109" i="83"/>
  <c r="B126" i="55"/>
  <c r="D184" s="1"/>
  <c r="D239"/>
  <c r="G16" i="53"/>
  <c r="G69" s="1"/>
  <c r="G99" i="81"/>
  <c r="B125" i="55"/>
  <c r="D183" s="1"/>
  <c r="D238"/>
  <c r="D27" i="53"/>
  <c r="D80" s="1"/>
  <c r="D110" i="81"/>
  <c r="E42" i="55"/>
  <c r="E99" s="1"/>
  <c r="F53" i="83"/>
  <c r="E11" i="53"/>
  <c r="E64" s="1"/>
  <c r="E94" i="81"/>
  <c r="B25" i="55"/>
  <c r="B82" s="1"/>
  <c r="C56" i="81"/>
  <c r="C119" i="53"/>
  <c r="E37"/>
  <c r="E90" s="1"/>
  <c r="F158" s="1"/>
  <c r="E106" i="83"/>
  <c r="D24" i="53"/>
  <c r="D77" s="1"/>
  <c r="D107" i="81"/>
  <c r="G227" i="53"/>
  <c r="C12" i="55"/>
  <c r="C69" s="1"/>
  <c r="D43" i="81"/>
  <c r="B31" i="84"/>
  <c r="C92" i="83"/>
  <c r="B20" i="55"/>
  <c r="C51" i="81"/>
  <c r="B78" i="72"/>
  <c r="D154"/>
  <c r="B79"/>
  <c r="C56" i="55"/>
  <c r="C113" s="1"/>
  <c r="D67" i="83"/>
  <c r="G51" i="22"/>
  <c r="I33" i="42"/>
  <c r="D25" i="53"/>
  <c r="D78" s="1"/>
  <c r="D108" i="81"/>
  <c r="E203" i="53"/>
  <c r="E135"/>
  <c r="D19"/>
  <c r="D72" s="1"/>
  <c r="D102" i="81"/>
  <c r="E205" i="55"/>
  <c r="B28" i="72"/>
  <c r="B52" s="1"/>
  <c r="C82" i="81"/>
  <c r="J167" i="72"/>
  <c r="D171" i="53"/>
  <c r="D239"/>
  <c r="D166" i="55"/>
  <c r="F225" s="1"/>
  <c r="F276"/>
  <c r="B22"/>
  <c r="B79" s="1"/>
  <c r="C53" i="81"/>
  <c r="K27" i="48"/>
  <c r="K44"/>
  <c r="K48" s="1"/>
  <c r="K25"/>
  <c r="K29"/>
  <c r="K30"/>
  <c r="K26"/>
  <c r="K28"/>
  <c r="K36"/>
  <c r="K24"/>
  <c r="K35"/>
  <c r="B28" i="55"/>
  <c r="B85" s="1"/>
  <c r="C59" i="81"/>
  <c r="D149" i="53"/>
  <c r="D217"/>
  <c r="D139"/>
  <c r="D207"/>
  <c r="C118"/>
  <c r="C114"/>
  <c r="D22"/>
  <c r="D75" s="1"/>
  <c r="D105" i="81"/>
  <c r="D59" i="55"/>
  <c r="D116" s="1"/>
  <c r="E70" i="83"/>
  <c r="E15" i="84"/>
  <c r="E46" s="1"/>
  <c r="F76" i="83"/>
  <c r="C45" i="22"/>
  <c r="D13" i="72"/>
  <c r="E67" i="81"/>
  <c r="G55" i="53"/>
  <c r="G108" s="1"/>
  <c r="H176" s="1"/>
  <c r="G124" i="83"/>
  <c r="G35" i="53"/>
  <c r="G88" s="1"/>
  <c r="H156" s="1"/>
  <c r="G104" i="83"/>
  <c r="D142" i="53"/>
  <c r="D210"/>
  <c r="J31" i="48"/>
  <c r="C15" i="55"/>
  <c r="C72" s="1"/>
  <c r="D46" i="81"/>
  <c r="C68" i="55"/>
  <c r="D150" i="53"/>
  <c r="D218"/>
  <c r="D23"/>
  <c r="D76" s="1"/>
  <c r="D106" i="81"/>
  <c r="C116" i="53"/>
  <c r="G56"/>
  <c r="G109" s="1"/>
  <c r="H177" s="1"/>
  <c r="G125" i="83"/>
  <c r="E35" i="84"/>
  <c r="E63" s="1"/>
  <c r="F96" i="83"/>
  <c r="F36" i="53"/>
  <c r="F89" s="1"/>
  <c r="G157" s="1"/>
  <c r="F105" i="83"/>
  <c r="B30" i="72"/>
  <c r="B54" s="1"/>
  <c r="C84" i="81"/>
  <c r="B24" i="55"/>
  <c r="B81" s="1"/>
  <c r="C55" i="81"/>
  <c r="D28" i="53"/>
  <c r="D81" s="1"/>
  <c r="D111" i="81"/>
  <c r="I274" i="53"/>
  <c r="J244"/>
  <c r="J206"/>
  <c r="J266"/>
  <c r="J215"/>
  <c r="J267"/>
  <c r="J268"/>
  <c r="J269"/>
  <c r="J220"/>
  <c r="J152"/>
  <c r="G34" i="29"/>
  <c r="G158"/>
  <c r="G143"/>
  <c r="G128"/>
  <c r="G173"/>
  <c r="D18" i="53"/>
  <c r="D71" s="1"/>
  <c r="D101" i="81"/>
  <c r="F92"/>
  <c r="F9" i="53"/>
  <c r="F62" s="1"/>
  <c r="G130" s="1"/>
  <c r="D148"/>
  <c r="D216"/>
  <c r="D151" i="55"/>
  <c r="F210" s="1"/>
  <c r="F264"/>
  <c r="E200" i="53"/>
  <c r="E132"/>
  <c r="E158"/>
  <c r="E226"/>
  <c r="C17" i="72"/>
  <c r="C41" s="1"/>
  <c r="D71" i="81"/>
  <c r="D145" i="53"/>
  <c r="D213"/>
  <c r="D73" i="81"/>
  <c r="C19" i="72"/>
  <c r="C43" s="1"/>
  <c r="B121" i="55"/>
  <c r="D179" s="1"/>
  <c r="D234"/>
  <c r="K23" i="22"/>
  <c r="B22" i="72"/>
  <c r="C76" i="81"/>
  <c r="H185" i="84"/>
  <c r="G151" i="53"/>
  <c r="G219"/>
  <c r="B165" i="55"/>
  <c r="D224" s="1"/>
  <c r="D275"/>
  <c r="D146" i="53"/>
  <c r="D214"/>
  <c r="E54"/>
  <c r="E107" s="1"/>
  <c r="F175" s="1"/>
  <c r="E123" i="83"/>
  <c r="E15" i="53"/>
  <c r="E68" s="1"/>
  <c r="E98" i="81"/>
  <c r="D140" i="53"/>
  <c r="D208"/>
  <c r="E20" i="84"/>
  <c r="E51" s="1"/>
  <c r="F81" i="83"/>
  <c r="B26" i="55"/>
  <c r="B83" s="1"/>
  <c r="C57" i="81"/>
  <c r="C14" i="72"/>
  <c r="C38" s="1"/>
  <c r="D68" i="81"/>
  <c r="E10" i="53"/>
  <c r="E63" s="1"/>
  <c r="E93" i="81"/>
  <c r="E52" i="22"/>
  <c r="B29" i="72"/>
  <c r="B53" s="1"/>
  <c r="C83" i="81"/>
  <c r="B23" i="72"/>
  <c r="B47" s="1"/>
  <c r="C77" i="81"/>
  <c r="D141" i="72" l="1"/>
  <c r="J42" i="42"/>
  <c r="H30" i="21" s="1"/>
  <c r="G21"/>
  <c r="E45" i="81"/>
  <c r="D14" i="55"/>
  <c r="D71" s="1"/>
  <c r="C123"/>
  <c r="E181" s="1"/>
  <c r="E236"/>
  <c r="E155" i="72"/>
  <c r="C70"/>
  <c r="E142" s="1"/>
  <c r="C71"/>
  <c r="D16"/>
  <c r="D40" s="1"/>
  <c r="E70" i="81"/>
  <c r="E265" i="55"/>
  <c r="C152"/>
  <c r="E211" s="1"/>
  <c r="D21" i="84"/>
  <c r="D52" s="1"/>
  <c r="E82" i="83"/>
  <c r="F41" i="53"/>
  <c r="F94" s="1"/>
  <c r="F110" i="83"/>
  <c r="D43" i="55"/>
  <c r="D100" s="1"/>
  <c r="E54" i="83"/>
  <c r="F162" i="53"/>
  <c r="F230"/>
  <c r="M51" i="22"/>
  <c r="M64"/>
  <c r="N61" s="1"/>
  <c r="H35" i="21"/>
  <c r="F33"/>
  <c r="G32"/>
  <c r="H31"/>
  <c r="J52" i="61"/>
  <c r="D90" i="83"/>
  <c r="C29" i="84"/>
  <c r="C60" s="1"/>
  <c r="C48" i="55"/>
  <c r="C105" s="1"/>
  <c r="D59" i="83"/>
  <c r="F34" i="53"/>
  <c r="F87" s="1"/>
  <c r="G155" s="1"/>
  <c r="F103" i="83"/>
  <c r="E114"/>
  <c r="E45" i="53"/>
  <c r="E98" s="1"/>
  <c r="F166" s="1"/>
  <c r="D36" i="55"/>
  <c r="D93" s="1"/>
  <c r="E47" i="83"/>
  <c r="E47" i="53"/>
  <c r="E100" s="1"/>
  <c r="F168" s="1"/>
  <c r="E116" i="83"/>
  <c r="D271" i="55"/>
  <c r="B158"/>
  <c r="D217" s="1"/>
  <c r="B157"/>
  <c r="D216" s="1"/>
  <c r="D270"/>
  <c r="C28" i="84"/>
  <c r="C59" s="1"/>
  <c r="D89" i="83"/>
  <c r="C150" i="55"/>
  <c r="E209" s="1"/>
  <c r="E263"/>
  <c r="E258"/>
  <c r="C145"/>
  <c r="E204" s="1"/>
  <c r="C51"/>
  <c r="C108" s="1"/>
  <c r="D62" i="83"/>
  <c r="E236" i="53"/>
  <c r="E168"/>
  <c r="C46" i="55"/>
  <c r="C103" s="1"/>
  <c r="D57" i="83"/>
  <c r="D56"/>
  <c r="C45" i="55"/>
  <c r="C102" s="1"/>
  <c r="C44"/>
  <c r="C101" s="1"/>
  <c r="D55" i="83"/>
  <c r="D58"/>
  <c r="C47" i="55"/>
  <c r="C104" s="1"/>
  <c r="C50"/>
  <c r="C107" s="1"/>
  <c r="D61" i="83"/>
  <c r="C25" i="84"/>
  <c r="C56" s="1"/>
  <c r="D86" i="83"/>
  <c r="E43" i="53"/>
  <c r="E96" s="1"/>
  <c r="F164" s="1"/>
  <c r="E112" i="83"/>
  <c r="F39" i="53"/>
  <c r="F92" s="1"/>
  <c r="G160" s="1"/>
  <c r="F108" i="83"/>
  <c r="E163" i="53"/>
  <c r="E231"/>
  <c r="E165"/>
  <c r="E233"/>
  <c r="C24" i="84"/>
  <c r="C55" s="1"/>
  <c r="D85" i="83"/>
  <c r="E49" i="53"/>
  <c r="E102" s="1"/>
  <c r="F170" s="1"/>
  <c r="E118" i="83"/>
  <c r="E46"/>
  <c r="D35" i="55"/>
  <c r="D92" s="1"/>
  <c r="C23" i="84"/>
  <c r="C54" s="1"/>
  <c r="D84" i="83"/>
  <c r="D83"/>
  <c r="C22" i="84"/>
  <c r="C53" s="1"/>
  <c r="E169" i="53"/>
  <c r="E237"/>
  <c r="C49" i="55"/>
  <c r="C106" s="1"/>
  <c r="D60" i="83"/>
  <c r="C26" i="84"/>
  <c r="C57" s="1"/>
  <c r="D87" i="83"/>
  <c r="D41" i="55"/>
  <c r="D98" s="1"/>
  <c r="E52" i="83"/>
  <c r="F222" i="53"/>
  <c r="B160" i="55"/>
  <c r="D219" s="1"/>
  <c r="D273"/>
  <c r="E167" i="53"/>
  <c r="E235"/>
  <c r="F223"/>
  <c r="D14" i="84"/>
  <c r="D45" s="1"/>
  <c r="E75" i="83"/>
  <c r="E234" i="53"/>
  <c r="E166"/>
  <c r="F102" i="83"/>
  <c r="F33" i="53"/>
  <c r="F86" s="1"/>
  <c r="G154" s="1"/>
  <c r="D88" i="83"/>
  <c r="C27" i="84"/>
  <c r="C58" s="1"/>
  <c r="E46" i="53"/>
  <c r="E99" s="1"/>
  <c r="F167" s="1"/>
  <c r="E115" i="83"/>
  <c r="D268" i="55"/>
  <c r="B155"/>
  <c r="D214" s="1"/>
  <c r="B154"/>
  <c r="D213" s="1"/>
  <c r="D267"/>
  <c r="B153"/>
  <c r="D212" s="1"/>
  <c r="D266"/>
  <c r="B156"/>
  <c r="D215" s="1"/>
  <c r="D269"/>
  <c r="D272"/>
  <c r="B159"/>
  <c r="D218" s="1"/>
  <c r="E164" i="53"/>
  <c r="E232"/>
  <c r="F228"/>
  <c r="E111" i="83"/>
  <c r="E42" i="53"/>
  <c r="E95" s="1"/>
  <c r="F163" s="1"/>
  <c r="E44"/>
  <c r="E97" s="1"/>
  <c r="F165" s="1"/>
  <c r="E113" i="83"/>
  <c r="E238" i="53"/>
  <c r="E170"/>
  <c r="E257" i="55"/>
  <c r="C144"/>
  <c r="E203" s="1"/>
  <c r="E48" i="53"/>
  <c r="E101" s="1"/>
  <c r="F169" s="1"/>
  <c r="E117" i="83"/>
  <c r="D19" i="84"/>
  <c r="D50" s="1"/>
  <c r="E80" i="83"/>
  <c r="D114" i="53"/>
  <c r="E182" s="1"/>
  <c r="D254"/>
  <c r="D247"/>
  <c r="D167" i="55"/>
  <c r="F226" s="1"/>
  <c r="F277"/>
  <c r="E18"/>
  <c r="E75" s="1"/>
  <c r="F49" i="81"/>
  <c r="E21" i="72"/>
  <c r="E45" s="1"/>
  <c r="F75" i="81"/>
  <c r="D128" i="55"/>
  <c r="F186" s="1"/>
  <c r="F241"/>
  <c r="K41" i="48"/>
  <c r="L58" i="22"/>
  <c r="M55" s="1"/>
  <c r="M56" s="1"/>
  <c r="M57" s="1"/>
  <c r="F69" i="83"/>
  <c r="E58" i="55"/>
  <c r="E115" s="1"/>
  <c r="F240"/>
  <c r="D127"/>
  <c r="F185" s="1"/>
  <c r="E36" i="84"/>
  <c r="E64" s="1"/>
  <c r="F97" i="83"/>
  <c r="F50" i="81"/>
  <c r="E19" i="55"/>
  <c r="E76" s="1"/>
  <c r="E20" i="72"/>
  <c r="E44" s="1"/>
  <c r="F74" i="81"/>
  <c r="D255" i="53"/>
  <c r="L43" i="22"/>
  <c r="N49"/>
  <c r="C29" i="72"/>
  <c r="C53" s="1"/>
  <c r="D83" i="81"/>
  <c r="C26" i="55"/>
  <c r="C83" s="1"/>
  <c r="D57" i="81"/>
  <c r="F98"/>
  <c r="F15" i="53"/>
  <c r="F68" s="1"/>
  <c r="B133" i="55"/>
  <c r="D191" s="1"/>
  <c r="D246"/>
  <c r="D15"/>
  <c r="D72" s="1"/>
  <c r="E46" i="81"/>
  <c r="H241" i="53"/>
  <c r="D187"/>
  <c r="D251"/>
  <c r="C121" i="55"/>
  <c r="E179" s="1"/>
  <c r="E234"/>
  <c r="F42"/>
  <c r="F99" s="1"/>
  <c r="G53" i="83"/>
  <c r="B135" i="55"/>
  <c r="D193" s="1"/>
  <c r="D248"/>
  <c r="D17" i="72"/>
  <c r="D41" s="1"/>
  <c r="E71" i="81"/>
  <c r="E140" i="53"/>
  <c r="E208"/>
  <c r="D56" i="55"/>
  <c r="D113" s="1"/>
  <c r="E67" i="83"/>
  <c r="E24" i="53"/>
  <c r="E77" s="1"/>
  <c r="E107" i="81"/>
  <c r="G264" i="55"/>
  <c r="E151"/>
  <c r="G210" s="1"/>
  <c r="K39" i="61"/>
  <c r="H10" i="21"/>
  <c r="C78" i="72"/>
  <c r="E154"/>
  <c r="C79"/>
  <c r="E218" i="53"/>
  <c r="E150"/>
  <c r="D19" i="72"/>
  <c r="D43" s="1"/>
  <c r="E73" i="81"/>
  <c r="D37" i="72"/>
  <c r="D168" i="55"/>
  <c r="F227" s="1"/>
  <c r="F278"/>
  <c r="H51" i="22"/>
  <c r="C31" i="84"/>
  <c r="D92" i="83"/>
  <c r="C25" i="55"/>
  <c r="C82" s="1"/>
  <c r="D56" i="81"/>
  <c r="F49" i="22"/>
  <c r="E18" i="53"/>
  <c r="E71" s="1"/>
  <c r="E101" i="81"/>
  <c r="D184" i="53"/>
  <c r="D248"/>
  <c r="H35"/>
  <c r="H88" s="1"/>
  <c r="I156" s="1"/>
  <c r="H104" i="83"/>
  <c r="I35" i="53" s="1"/>
  <c r="I88" s="1"/>
  <c r="F15" i="84"/>
  <c r="F46" s="1"/>
  <c r="G76" i="83"/>
  <c r="K31" i="48"/>
  <c r="B134" i="55"/>
  <c r="D192" s="1"/>
  <c r="D247"/>
  <c r="C29"/>
  <c r="C86" s="1"/>
  <c r="D60" i="81"/>
  <c r="E51" i="53"/>
  <c r="E104" s="1"/>
  <c r="F172" s="1"/>
  <c r="E120" i="83"/>
  <c r="H133" i="53"/>
  <c r="H201"/>
  <c r="B140" i="55"/>
  <c r="D198" s="1"/>
  <c r="D253"/>
  <c r="B109"/>
  <c r="B61"/>
  <c r="C25" i="72"/>
  <c r="C49" s="1"/>
  <c r="D79" i="81"/>
  <c r="C125" i="55"/>
  <c r="E183" s="1"/>
  <c r="E238"/>
  <c r="D17"/>
  <c r="D74" s="1"/>
  <c r="E48" i="81"/>
  <c r="E21" i="53"/>
  <c r="E74" s="1"/>
  <c r="E104" i="81"/>
  <c r="C27" i="55"/>
  <c r="C84" s="1"/>
  <c r="D58" i="81"/>
  <c r="E20" i="53"/>
  <c r="E73" s="1"/>
  <c r="E103" i="81"/>
  <c r="D140" i="72"/>
  <c r="F134" i="53"/>
  <c r="F202"/>
  <c r="E52"/>
  <c r="E105" s="1"/>
  <c r="F173" s="1"/>
  <c r="E121" i="83"/>
  <c r="C139" i="55"/>
  <c r="E197" s="1"/>
  <c r="E252"/>
  <c r="D149"/>
  <c r="F208" s="1"/>
  <c r="F262"/>
  <c r="C122"/>
  <c r="E180" s="1"/>
  <c r="E235"/>
  <c r="D80" i="81"/>
  <c r="C26" i="72"/>
  <c r="C50" s="1"/>
  <c r="C23"/>
  <c r="C47" s="1"/>
  <c r="D77" i="81"/>
  <c r="F93"/>
  <c r="F10" i="53"/>
  <c r="F63" s="1"/>
  <c r="F20" i="84"/>
  <c r="F51" s="1"/>
  <c r="G81" i="83"/>
  <c r="F54" i="53"/>
  <c r="F107" s="1"/>
  <c r="G175" s="1"/>
  <c r="F123" i="83"/>
  <c r="B46" i="72"/>
  <c r="B32"/>
  <c r="B12" s="1"/>
  <c r="E207" i="53"/>
  <c r="E139"/>
  <c r="E149"/>
  <c r="E217"/>
  <c r="G225"/>
  <c r="H242"/>
  <c r="E23"/>
  <c r="E76" s="1"/>
  <c r="E106" i="81"/>
  <c r="C120" i="55"/>
  <c r="E233"/>
  <c r="J36" i="61"/>
  <c r="G11" i="21"/>
  <c r="J51" i="48"/>
  <c r="H224" i="53"/>
  <c r="D45" i="22"/>
  <c r="E211" i="53"/>
  <c r="E143"/>
  <c r="B137" i="55"/>
  <c r="D195" s="1"/>
  <c r="D250"/>
  <c r="E25" i="53"/>
  <c r="E78" s="1"/>
  <c r="E108" i="81"/>
  <c r="G20" i="21"/>
  <c r="O10" s="1"/>
  <c r="I44" i="42"/>
  <c r="I46" s="1"/>
  <c r="E275" i="55"/>
  <c r="C165"/>
  <c r="E224" s="1"/>
  <c r="C20"/>
  <c r="C77" s="1"/>
  <c r="D51" i="81"/>
  <c r="E213" i="53"/>
  <c r="E145"/>
  <c r="F226"/>
  <c r="F94" i="81"/>
  <c r="F11" i="53"/>
  <c r="F64" s="1"/>
  <c r="E27"/>
  <c r="E80" s="1"/>
  <c r="E110" i="81"/>
  <c r="H16" i="53"/>
  <c r="H69" s="1"/>
  <c r="H99" i="81"/>
  <c r="I16" i="53" s="1"/>
  <c r="I69" s="1"/>
  <c r="H40"/>
  <c r="H93" s="1"/>
  <c r="I161" s="1"/>
  <c r="H109" i="83"/>
  <c r="I40" i="53" s="1"/>
  <c r="I93" s="1"/>
  <c r="B138" i="55"/>
  <c r="D196" s="1"/>
  <c r="D251"/>
  <c r="B132"/>
  <c r="D190" s="1"/>
  <c r="D245"/>
  <c r="D119" i="53"/>
  <c r="C33" i="84"/>
  <c r="D94" i="83"/>
  <c r="F37" i="55"/>
  <c r="F94" s="1"/>
  <c r="G48" i="83"/>
  <c r="D154" i="84"/>
  <c r="D159" s="1"/>
  <c r="D168"/>
  <c r="D169"/>
  <c r="C27" i="72"/>
  <c r="C51" s="1"/>
  <c r="D81" i="81"/>
  <c r="E53" i="53"/>
  <c r="E106" s="1"/>
  <c r="F174" s="1"/>
  <c r="E122" i="83"/>
  <c r="E11" i="55"/>
  <c r="F42" i="81"/>
  <c r="C126" i="55"/>
  <c r="E184" s="1"/>
  <c r="E239"/>
  <c r="E210" i="53"/>
  <c r="E142"/>
  <c r="B136" i="55"/>
  <c r="D194" s="1"/>
  <c r="D249"/>
  <c r="E209" i="53"/>
  <c r="E141"/>
  <c r="H57"/>
  <c r="H110" s="1"/>
  <c r="I178" s="1"/>
  <c r="H126" i="83"/>
  <c r="I57" i="53" s="1"/>
  <c r="I110" s="1"/>
  <c r="F98" i="83"/>
  <c r="E37" i="84"/>
  <c r="E65" s="1"/>
  <c r="E50" i="83"/>
  <c r="D39" i="55"/>
  <c r="D96" s="1"/>
  <c r="I185" i="84"/>
  <c r="D34"/>
  <c r="D62" s="1"/>
  <c r="E95" i="83"/>
  <c r="C30" i="84"/>
  <c r="C61" s="1"/>
  <c r="D91" i="83"/>
  <c r="C32" i="84"/>
  <c r="D93" i="83"/>
  <c r="G174" i="29"/>
  <c r="G35"/>
  <c r="G144"/>
  <c r="G129"/>
  <c r="G159"/>
  <c r="D14" i="72"/>
  <c r="D38" s="1"/>
  <c r="E68" i="81"/>
  <c r="G92"/>
  <c r="G9" i="53"/>
  <c r="G62" s="1"/>
  <c r="H130" s="1"/>
  <c r="C22" i="55"/>
  <c r="C79" s="1"/>
  <c r="D53" i="81"/>
  <c r="E19" i="53"/>
  <c r="E72" s="1"/>
  <c r="E102" i="81"/>
  <c r="E153" i="72"/>
  <c r="C63"/>
  <c r="C64"/>
  <c r="F136" i="53"/>
  <c r="F204"/>
  <c r="C22" i="72"/>
  <c r="C46" s="1"/>
  <c r="D76" i="81"/>
  <c r="J274" i="53"/>
  <c r="E28"/>
  <c r="E81" s="1"/>
  <c r="E111" i="81"/>
  <c r="G36" i="53"/>
  <c r="G89" s="1"/>
  <c r="H157" s="1"/>
  <c r="G105" i="83"/>
  <c r="H56" i="53"/>
  <c r="H109" s="1"/>
  <c r="I177" s="1"/>
  <c r="H125" i="83"/>
  <c r="I56" i="53" s="1"/>
  <c r="I109" s="1"/>
  <c r="C124" i="55"/>
  <c r="E182" s="1"/>
  <c r="E237"/>
  <c r="E22" i="53"/>
  <c r="E75" s="1"/>
  <c r="E105" i="81"/>
  <c r="C28" i="55"/>
  <c r="C85" s="1"/>
  <c r="D59" i="81"/>
  <c r="B131" i="55"/>
  <c r="D189" s="1"/>
  <c r="D244"/>
  <c r="F37" i="53"/>
  <c r="F90" s="1"/>
  <c r="G158" s="1"/>
  <c r="F106" i="83"/>
  <c r="D47" i="84"/>
  <c r="C23" i="55"/>
  <c r="C80" s="1"/>
  <c r="D54" i="81"/>
  <c r="D115" i="53"/>
  <c r="D17" i="84"/>
  <c r="D48" s="1"/>
  <c r="E78" i="83"/>
  <c r="F135" i="53"/>
  <c r="F203"/>
  <c r="B95" i="72"/>
  <c r="D139" s="1"/>
  <c r="D152"/>
  <c r="B96"/>
  <c r="F131" i="53"/>
  <c r="F199"/>
  <c r="F240"/>
  <c r="G198"/>
  <c r="C24" i="55"/>
  <c r="C81" s="1"/>
  <c r="D55" i="81"/>
  <c r="C30" i="72"/>
  <c r="C54" s="1"/>
  <c r="D84" i="81"/>
  <c r="F35" i="84"/>
  <c r="F63" s="1"/>
  <c r="G96" i="83"/>
  <c r="E144" i="53"/>
  <c r="E212"/>
  <c r="H55"/>
  <c r="H108" s="1"/>
  <c r="I176" s="1"/>
  <c r="H124" i="83"/>
  <c r="I55" i="53" s="1"/>
  <c r="I108" s="1"/>
  <c r="F67" i="81"/>
  <c r="E13" i="72"/>
  <c r="F70" i="83"/>
  <c r="E59" i="55"/>
  <c r="E116" s="1"/>
  <c r="D182" i="53"/>
  <c r="D246"/>
  <c r="D116"/>
  <c r="C28" i="72"/>
  <c r="C52" s="1"/>
  <c r="D82" i="81"/>
  <c r="E214" i="53"/>
  <c r="E146"/>
  <c r="B77" i="55"/>
  <c r="D242" s="1"/>
  <c r="B33"/>
  <c r="D12"/>
  <c r="D69" s="1"/>
  <c r="E43" i="81"/>
  <c r="D188" i="53"/>
  <c r="D252"/>
  <c r="F132"/>
  <c r="F200"/>
  <c r="E216"/>
  <c r="E148"/>
  <c r="H137"/>
  <c r="H205"/>
  <c r="H229"/>
  <c r="F49" i="83"/>
  <c r="E38" i="55"/>
  <c r="C24" i="72"/>
  <c r="C48" s="1"/>
  <c r="D78" i="81"/>
  <c r="G276" i="55"/>
  <c r="E166"/>
  <c r="G225" s="1"/>
  <c r="E50" i="53"/>
  <c r="E103" s="1"/>
  <c r="F171" s="1"/>
  <c r="E119" i="83"/>
  <c r="H173" i="29"/>
  <c r="H158"/>
  <c r="H143"/>
  <c r="H128"/>
  <c r="H34"/>
  <c r="G259" i="55"/>
  <c r="E146"/>
  <c r="G205" s="1"/>
  <c r="H107" i="83"/>
  <c r="I38" i="53" s="1"/>
  <c r="I91" s="1"/>
  <c r="H38"/>
  <c r="H91" s="1"/>
  <c r="I159" s="1"/>
  <c r="C31" i="72"/>
  <c r="C55" s="1"/>
  <c r="D85" i="81"/>
  <c r="K45" i="22"/>
  <c r="D178" i="55"/>
  <c r="D68"/>
  <c r="E18" i="84"/>
  <c r="E49" s="1"/>
  <c r="F79" i="83"/>
  <c r="D118" i="53"/>
  <c r="C21" i="55"/>
  <c r="C78" s="1"/>
  <c r="D52" i="81"/>
  <c r="H243" i="53"/>
  <c r="N62" i="22"/>
  <c r="N63" s="1"/>
  <c r="C96" i="55"/>
  <c r="H151" i="53"/>
  <c r="H219"/>
  <c r="C126" i="84"/>
  <c r="C143" s="1"/>
  <c r="E156" s="1"/>
  <c r="E167"/>
  <c r="C125"/>
  <c r="C142" s="1"/>
  <c r="E155" s="1"/>
  <c r="C124"/>
  <c r="C141" s="1"/>
  <c r="E163"/>
  <c r="E164"/>
  <c r="B61"/>
  <c r="B39"/>
  <c r="D46" i="22"/>
  <c r="E16" i="84"/>
  <c r="F77" i="83"/>
  <c r="D95" i="55"/>
  <c r="F57"/>
  <c r="F114" s="1"/>
  <c r="G68" i="83"/>
  <c r="E171" i="53"/>
  <c r="E239"/>
  <c r="F97" i="81"/>
  <c r="F14" i="53"/>
  <c r="F67" s="1"/>
  <c r="J33" i="42"/>
  <c r="H12" i="53"/>
  <c r="H65" s="1"/>
  <c r="H95" i="81"/>
  <c r="I12" i="53" s="1"/>
  <c r="I65" s="1"/>
  <c r="D18" i="72"/>
  <c r="D42" s="1"/>
  <c r="E72" i="81"/>
  <c r="C31" i="55"/>
  <c r="C88" s="1"/>
  <c r="D62" i="81"/>
  <c r="C52" i="55"/>
  <c r="C109" s="1"/>
  <c r="D63" i="83"/>
  <c r="H227" i="53"/>
  <c r="D16" i="55"/>
  <c r="D73" s="1"/>
  <c r="E47" i="81"/>
  <c r="E29" i="53"/>
  <c r="E82" s="1"/>
  <c r="E112" i="81"/>
  <c r="B130" i="55"/>
  <c r="D188" s="1"/>
  <c r="D243"/>
  <c r="F96" i="81"/>
  <c r="F13" i="53"/>
  <c r="F66" s="1"/>
  <c r="D15" i="72"/>
  <c r="D39" s="1"/>
  <c r="E69" i="81"/>
  <c r="D30" i="55"/>
  <c r="D87" s="1"/>
  <c r="E61" i="81"/>
  <c r="H30" i="53"/>
  <c r="H83" s="1"/>
  <c r="H113" i="81"/>
  <c r="I30" i="53" s="1"/>
  <c r="I83" s="1"/>
  <c r="J180" i="84"/>
  <c r="J181"/>
  <c r="F51" i="83"/>
  <c r="E40" i="55"/>
  <c r="E97" s="1"/>
  <c r="D13"/>
  <c r="D70" s="1"/>
  <c r="E44" i="81"/>
  <c r="D171" i="72" l="1"/>
  <c r="D172"/>
  <c r="D168"/>
  <c r="D169"/>
  <c r="J156" i="53"/>
  <c r="O11" i="21"/>
  <c r="F155" i="72"/>
  <c r="D71"/>
  <c r="D70"/>
  <c r="F142" s="1"/>
  <c r="D123" i="55"/>
  <c r="F181" s="1"/>
  <c r="F236"/>
  <c r="E16" i="72"/>
  <c r="E40" s="1"/>
  <c r="F70" i="81"/>
  <c r="F45"/>
  <c r="E14" i="55"/>
  <c r="E71" s="1"/>
  <c r="F54" i="83"/>
  <c r="E43" i="55"/>
  <c r="E100" s="1"/>
  <c r="E21" i="84"/>
  <c r="E52" s="1"/>
  <c r="F82" i="83"/>
  <c r="D152" i="55"/>
  <c r="F211" s="1"/>
  <c r="F265"/>
  <c r="J177" i="53"/>
  <c r="J161"/>
  <c r="G41"/>
  <c r="G94" s="1"/>
  <c r="G110" i="83"/>
  <c r="G162" i="53"/>
  <c r="G230"/>
  <c r="J176"/>
  <c r="J178"/>
  <c r="J159"/>
  <c r="G33" i="21"/>
  <c r="H32"/>
  <c r="K49" i="61"/>
  <c r="H21" i="21"/>
  <c r="K49" i="48"/>
  <c r="K51" s="1"/>
  <c r="K52" i="61"/>
  <c r="E60" i="83"/>
  <c r="D49" i="55"/>
  <c r="D106" s="1"/>
  <c r="D144"/>
  <c r="F203" s="1"/>
  <c r="F257"/>
  <c r="D50"/>
  <c r="D107" s="1"/>
  <c r="E61" i="83"/>
  <c r="D46" i="55"/>
  <c r="D103" s="1"/>
  <c r="E57" i="83"/>
  <c r="F116"/>
  <c r="F47" i="53"/>
  <c r="F100" s="1"/>
  <c r="G168" s="1"/>
  <c r="E59" i="83"/>
  <c r="D48" i="55"/>
  <c r="D105" s="1"/>
  <c r="F233" i="53"/>
  <c r="C158" i="55"/>
  <c r="E217" s="1"/>
  <c r="E271"/>
  <c r="F46" i="83"/>
  <c r="E35" i="55"/>
  <c r="E92" s="1"/>
  <c r="C159"/>
  <c r="E218" s="1"/>
  <c r="E272"/>
  <c r="E268"/>
  <c r="C155"/>
  <c r="E214" s="1"/>
  <c r="C160"/>
  <c r="E219" s="1"/>
  <c r="E273"/>
  <c r="E270"/>
  <c r="C157"/>
  <c r="E216" s="1"/>
  <c r="F117" i="83"/>
  <c r="F48" i="53"/>
  <c r="F101" s="1"/>
  <c r="G169" s="1"/>
  <c r="F231"/>
  <c r="F46"/>
  <c r="F99" s="1"/>
  <c r="G167" s="1"/>
  <c r="F115" i="83"/>
  <c r="G222" i="53"/>
  <c r="E14" i="84"/>
  <c r="E45" s="1"/>
  <c r="F75" i="83"/>
  <c r="E87"/>
  <c r="D26" i="84"/>
  <c r="D57" s="1"/>
  <c r="E84" i="83"/>
  <c r="D23" i="84"/>
  <c r="D54" s="1"/>
  <c r="F118" i="83"/>
  <c r="F49" i="53"/>
  <c r="F102" s="1"/>
  <c r="G170" s="1"/>
  <c r="G108" i="83"/>
  <c r="G39" i="53"/>
  <c r="G92" s="1"/>
  <c r="H160" s="1"/>
  <c r="E86" i="83"/>
  <c r="D25" i="84"/>
  <c r="D56" s="1"/>
  <c r="C156" i="55"/>
  <c r="E215" s="1"/>
  <c r="E269"/>
  <c r="E267"/>
  <c r="C154"/>
  <c r="E213" s="1"/>
  <c r="D28" i="84"/>
  <c r="D59" s="1"/>
  <c r="E89" i="83"/>
  <c r="E36" i="55"/>
  <c r="E93" s="1"/>
  <c r="F47" i="83"/>
  <c r="G34" i="53"/>
  <c r="G87" s="1"/>
  <c r="H155" s="1"/>
  <c r="G103" i="83"/>
  <c r="F80"/>
  <c r="E19" i="84"/>
  <c r="E50" s="1"/>
  <c r="F44" i="53"/>
  <c r="F97" s="1"/>
  <c r="G165" s="1"/>
  <c r="F113" i="83"/>
  <c r="E41" i="55"/>
  <c r="E98" s="1"/>
  <c r="F52" i="83"/>
  <c r="E85"/>
  <c r="D24" i="84"/>
  <c r="D55" s="1"/>
  <c r="F112" i="83"/>
  <c r="F43" i="53"/>
  <c r="F96" s="1"/>
  <c r="G164" s="1"/>
  <c r="D44" i="55"/>
  <c r="D101" s="1"/>
  <c r="E55" i="83"/>
  <c r="E62"/>
  <c r="D51" i="55"/>
  <c r="D108" s="1"/>
  <c r="F234" i="53"/>
  <c r="E88" i="83"/>
  <c r="D27" i="84"/>
  <c r="D58" s="1"/>
  <c r="D150" i="55"/>
  <c r="F209" s="1"/>
  <c r="F263"/>
  <c r="E83" i="83"/>
  <c r="D22" i="84"/>
  <c r="D53" s="1"/>
  <c r="F232" i="53"/>
  <c r="E266" i="55"/>
  <c r="C153"/>
  <c r="E212" s="1"/>
  <c r="F236" i="53"/>
  <c r="F114" i="83"/>
  <c r="F45" i="53"/>
  <c r="F98" s="1"/>
  <c r="G166" s="1"/>
  <c r="F237"/>
  <c r="F111" i="83"/>
  <c r="F42" i="53"/>
  <c r="F95" s="1"/>
  <c r="G163" s="1"/>
  <c r="F235"/>
  <c r="G33"/>
  <c r="G86" s="1"/>
  <c r="H154" s="1"/>
  <c r="G102" i="83"/>
  <c r="F238" i="53"/>
  <c r="G228"/>
  <c r="D47" i="55"/>
  <c r="D104" s="1"/>
  <c r="E58" i="83"/>
  <c r="E56"/>
  <c r="D45" i="55"/>
  <c r="D102" s="1"/>
  <c r="F258"/>
  <c r="D145"/>
  <c r="F204" s="1"/>
  <c r="G223" i="53"/>
  <c r="E90" i="83"/>
  <c r="D29" i="84"/>
  <c r="D60" s="1"/>
  <c r="D191" i="53"/>
  <c r="E246"/>
  <c r="M58" i="22"/>
  <c r="N55" s="1"/>
  <c r="N56" s="1"/>
  <c r="N57" s="1"/>
  <c r="E15" i="61"/>
  <c r="D261" i="53" s="1"/>
  <c r="D263" s="1"/>
  <c r="E48" i="61"/>
  <c r="G74" i="81"/>
  <c r="F20" i="72"/>
  <c r="F44" s="1"/>
  <c r="E119" i="53"/>
  <c r="F252" s="1"/>
  <c r="G97" i="83"/>
  <c r="F36" i="84"/>
  <c r="F64" s="1"/>
  <c r="N64" i="22"/>
  <c r="O61" s="1"/>
  <c r="O62" s="1"/>
  <c r="O63" s="1"/>
  <c r="C61" i="55"/>
  <c r="E128"/>
  <c r="G186" s="1"/>
  <c r="G241"/>
  <c r="E167"/>
  <c r="G226" s="1"/>
  <c r="G277"/>
  <c r="F21" i="72"/>
  <c r="F45" s="1"/>
  <c r="G75" i="81"/>
  <c r="F18" i="55"/>
  <c r="F75" s="1"/>
  <c r="G49" i="81"/>
  <c r="F19" i="55"/>
  <c r="F76" s="1"/>
  <c r="G50" i="81"/>
  <c r="F58" i="55"/>
  <c r="F115" s="1"/>
  <c r="G69" i="83"/>
  <c r="G240" i="55"/>
  <c r="E127"/>
  <c r="G185" s="1"/>
  <c r="E254" i="53"/>
  <c r="J219"/>
  <c r="J151"/>
  <c r="F112" i="81"/>
  <c r="F29" i="53"/>
  <c r="F82" s="1"/>
  <c r="D52" i="55"/>
  <c r="D109" s="1"/>
  <c r="E63" i="83"/>
  <c r="H20" i="21"/>
  <c r="P10" s="1"/>
  <c r="J44" i="42"/>
  <c r="J46" s="1"/>
  <c r="E47" i="84"/>
  <c r="E43" i="22"/>
  <c r="C130" i="55"/>
  <c r="E188" s="1"/>
  <c r="E243"/>
  <c r="J227" i="53"/>
  <c r="E95" i="55"/>
  <c r="B65"/>
  <c r="D200" s="1"/>
  <c r="B10"/>
  <c r="G35" i="84"/>
  <c r="G63" s="1"/>
  <c r="H96" i="83"/>
  <c r="H35" i="84" s="1"/>
  <c r="H63" s="1"/>
  <c r="G226" i="53"/>
  <c r="D22" i="72"/>
  <c r="D46" s="1"/>
  <c r="E76" i="81"/>
  <c r="C131" i="55"/>
  <c r="E189" s="1"/>
  <c r="E244"/>
  <c r="D63" i="72"/>
  <c r="F153"/>
  <c r="D64"/>
  <c r="E68" i="55"/>
  <c r="E40" i="61"/>
  <c r="B13" i="21"/>
  <c r="C39" i="84"/>
  <c r="J205" i="53"/>
  <c r="J137"/>
  <c r="E152" i="72"/>
  <c r="C95"/>
  <c r="E139" s="1"/>
  <c r="C96"/>
  <c r="F51" i="53"/>
  <c r="F104" s="1"/>
  <c r="G172" s="1"/>
  <c r="F120" i="83"/>
  <c r="D29" i="55"/>
  <c r="D86" s="1"/>
  <c r="E60" i="81"/>
  <c r="G15" i="84"/>
  <c r="G46" s="1"/>
  <c r="H76" i="83"/>
  <c r="H15" i="84" s="1"/>
  <c r="H46" s="1"/>
  <c r="F101" i="81"/>
  <c r="F18" i="53"/>
  <c r="F71" s="1"/>
  <c r="I158" i="29"/>
  <c r="I143"/>
  <c r="I128"/>
  <c r="I34"/>
  <c r="I173"/>
  <c r="F235" i="55"/>
  <c r="D122"/>
  <c r="F180" s="1"/>
  <c r="I219" i="53"/>
  <c r="I151"/>
  <c r="G202"/>
  <c r="G134"/>
  <c r="F150"/>
  <c r="F218"/>
  <c r="E274" i="55"/>
  <c r="C161"/>
  <c r="G135" i="53"/>
  <c r="G203"/>
  <c r="B12" i="84"/>
  <c r="B42"/>
  <c r="D120" i="55"/>
  <c r="F233"/>
  <c r="D31" i="72"/>
  <c r="D55" s="1"/>
  <c r="E85" i="81"/>
  <c r="F239" i="53"/>
  <c r="B129" i="55"/>
  <c r="E246"/>
  <c r="C133"/>
  <c r="E191" s="1"/>
  <c r="J242" i="53"/>
  <c r="D148" i="55"/>
  <c r="F261"/>
  <c r="I205" i="53"/>
  <c r="I137"/>
  <c r="G54"/>
  <c r="G107" s="1"/>
  <c r="H175" s="1"/>
  <c r="G123" i="83"/>
  <c r="F142" i="53"/>
  <c r="F210"/>
  <c r="C134" i="55"/>
  <c r="E192" s="1"/>
  <c r="E247"/>
  <c r="F67" i="83"/>
  <c r="E56" i="55"/>
  <c r="E113" s="1"/>
  <c r="G42"/>
  <c r="G99" s="1"/>
  <c r="H53" i="83"/>
  <c r="H42" i="55" s="1"/>
  <c r="H99" s="1"/>
  <c r="D124"/>
  <c r="F182" s="1"/>
  <c r="F237"/>
  <c r="C135"/>
  <c r="E193" s="1"/>
  <c r="E248"/>
  <c r="N50" i="22"/>
  <c r="N52" s="1"/>
  <c r="E149" i="55"/>
  <c r="G208" s="1"/>
  <c r="G262"/>
  <c r="D139"/>
  <c r="F197" s="1"/>
  <c r="F252"/>
  <c r="G96" i="81"/>
  <c r="G13" i="53"/>
  <c r="G66" s="1"/>
  <c r="E255"/>
  <c r="E16" i="55"/>
  <c r="E73" s="1"/>
  <c r="F47" i="81"/>
  <c r="D31" i="55"/>
  <c r="D88" s="1"/>
  <c r="E62" i="81"/>
  <c r="J201" i="53"/>
  <c r="J133"/>
  <c r="G14"/>
  <c r="G67" s="1"/>
  <c r="G97" i="81"/>
  <c r="G57" i="55"/>
  <c r="G114" s="1"/>
  <c r="H68" i="83"/>
  <c r="H57" i="55" s="1"/>
  <c r="H114" s="1"/>
  <c r="F18" i="84"/>
  <c r="F49" s="1"/>
  <c r="G79" i="83"/>
  <c r="E115" i="53"/>
  <c r="E12" i="55"/>
  <c r="E69" s="1"/>
  <c r="F43" i="81"/>
  <c r="E248" i="53"/>
  <c r="E184"/>
  <c r="G70" i="83"/>
  <c r="F59" i="55"/>
  <c r="F116" s="1"/>
  <c r="I241" i="53"/>
  <c r="D30" i="72"/>
  <c r="D54" s="1"/>
  <c r="E84" i="81"/>
  <c r="C132" i="55"/>
  <c r="E190" s="1"/>
  <c r="E245"/>
  <c r="C137"/>
  <c r="E195" s="1"/>
  <c r="E250"/>
  <c r="I242" i="53"/>
  <c r="F149"/>
  <c r="F217"/>
  <c r="H9"/>
  <c r="H62" s="1"/>
  <c r="I130" s="1"/>
  <c r="H92" i="81"/>
  <c r="I9" i="53" s="1"/>
  <c r="I62" s="1"/>
  <c r="F167" i="84"/>
  <c r="D126"/>
  <c r="D143" s="1"/>
  <c r="F156" s="1"/>
  <c r="D125"/>
  <c r="D142" s="1"/>
  <c r="F155" s="1"/>
  <c r="F163"/>
  <c r="D124"/>
  <c r="D141" s="1"/>
  <c r="F164"/>
  <c r="E39" i="55"/>
  <c r="E96" s="1"/>
  <c r="F50" i="83"/>
  <c r="F37" i="84"/>
  <c r="F65" s="1"/>
  <c r="G98" i="83"/>
  <c r="F146" i="55"/>
  <c r="H205" s="1"/>
  <c r="H259"/>
  <c r="E252" i="53"/>
  <c r="E188"/>
  <c r="J229"/>
  <c r="F110" i="81"/>
  <c r="F27" i="53"/>
  <c r="F80" s="1"/>
  <c r="F108" i="81"/>
  <c r="F25" i="53"/>
  <c r="F78" s="1"/>
  <c r="E178" i="55"/>
  <c r="G240" i="53"/>
  <c r="D144" i="72"/>
  <c r="D27" i="55"/>
  <c r="D84" s="1"/>
  <c r="E58" i="81"/>
  <c r="E17" i="55"/>
  <c r="E74" s="1"/>
  <c r="F48" i="81"/>
  <c r="D25" i="72"/>
  <c r="D49" s="1"/>
  <c r="E79" i="81"/>
  <c r="J224" i="53"/>
  <c r="I51" i="22"/>
  <c r="E19" i="72"/>
  <c r="E43" s="1"/>
  <c r="F73" i="81"/>
  <c r="E141" i="72"/>
  <c r="D165" i="55"/>
  <c r="F224" s="1"/>
  <c r="F275"/>
  <c r="F151"/>
  <c r="H210" s="1"/>
  <c r="H264"/>
  <c r="G136" i="53"/>
  <c r="G204"/>
  <c r="D29" i="72"/>
  <c r="D53" s="1"/>
  <c r="E83" i="81"/>
  <c r="E13" i="55"/>
  <c r="E70" s="1"/>
  <c r="F44" i="81"/>
  <c r="E18" i="72"/>
  <c r="E42" s="1"/>
  <c r="F72" i="81"/>
  <c r="D147" i="55"/>
  <c r="F206" s="1"/>
  <c r="F260"/>
  <c r="F119" i="83"/>
  <c r="F50" i="53"/>
  <c r="F103" s="1"/>
  <c r="G171" s="1"/>
  <c r="D24" i="72"/>
  <c r="D48" s="1"/>
  <c r="E78" i="81"/>
  <c r="E82"/>
  <c r="D28" i="72"/>
  <c r="D52" s="1"/>
  <c r="G67" i="81"/>
  <c r="F13" i="72"/>
  <c r="D24" i="55"/>
  <c r="D81" s="1"/>
  <c r="E55" i="81"/>
  <c r="F211" i="53"/>
  <c r="F143"/>
  <c r="H225"/>
  <c r="F140"/>
  <c r="F208"/>
  <c r="D32" i="84"/>
  <c r="E93" i="83"/>
  <c r="I243" i="53"/>
  <c r="D27" i="72"/>
  <c r="D51" s="1"/>
  <c r="E81" i="81"/>
  <c r="G132" i="53"/>
  <c r="G200"/>
  <c r="C129" i="55"/>
  <c r="E242"/>
  <c r="F144" i="53"/>
  <c r="F212"/>
  <c r="G10"/>
  <c r="G63" s="1"/>
  <c r="G93" i="81"/>
  <c r="D26" i="72"/>
  <c r="D50" s="1"/>
  <c r="E80" i="81"/>
  <c r="F103"/>
  <c r="F20" i="53"/>
  <c r="F73" s="1"/>
  <c r="F104" i="81"/>
  <c r="F21" i="53"/>
  <c r="F74" s="1"/>
  <c r="D25" i="55"/>
  <c r="D82" s="1"/>
  <c r="E56" i="81"/>
  <c r="F145" i="53"/>
  <c r="F213"/>
  <c r="E15" i="55"/>
  <c r="E72" s="1"/>
  <c r="F46" i="81"/>
  <c r="D26" i="55"/>
  <c r="D83" s="1"/>
  <c r="E57" i="81"/>
  <c r="L44" i="22"/>
  <c r="J185" i="84"/>
  <c r="F61" i="81"/>
  <c r="E30" i="55"/>
  <c r="E87" s="1"/>
  <c r="C32" i="72"/>
  <c r="D78"/>
  <c r="F154"/>
  <c r="D79"/>
  <c r="E154" i="84"/>
  <c r="E159" s="1"/>
  <c r="E168"/>
  <c r="E169"/>
  <c r="E261" i="55"/>
  <c r="C148"/>
  <c r="E207" s="1"/>
  <c r="E187" i="53"/>
  <c r="E251"/>
  <c r="F38" i="55"/>
  <c r="G49" i="83"/>
  <c r="E168" i="55"/>
  <c r="G227" s="1"/>
  <c r="G278"/>
  <c r="J241" i="53"/>
  <c r="F78" i="83"/>
  <c r="E17" i="84"/>
  <c r="E48" s="1"/>
  <c r="D23" i="55"/>
  <c r="D80" s="1"/>
  <c r="E54" i="81"/>
  <c r="D28" i="55"/>
  <c r="D85" s="1"/>
  <c r="E59" i="81"/>
  <c r="F111"/>
  <c r="F28" i="53"/>
  <c r="F81" s="1"/>
  <c r="H198"/>
  <c r="E34" i="84"/>
  <c r="E62" s="1"/>
  <c r="F95" i="83"/>
  <c r="F53" i="53"/>
  <c r="F106" s="1"/>
  <c r="G174" s="1"/>
  <c r="F122" i="83"/>
  <c r="G37" i="55"/>
  <c r="G94" s="1"/>
  <c r="H48" i="83"/>
  <c r="H37" i="55" s="1"/>
  <c r="H94" s="1"/>
  <c r="G94" i="81"/>
  <c r="G11" i="53"/>
  <c r="G64" s="1"/>
  <c r="B35" i="72"/>
  <c r="D170" s="1"/>
  <c r="D156"/>
  <c r="F141" i="53"/>
  <c r="F209"/>
  <c r="C138" i="55"/>
  <c r="E196" s="1"/>
  <c r="E251"/>
  <c r="F139" i="53"/>
  <c r="F207"/>
  <c r="F71" i="81"/>
  <c r="E17" i="72"/>
  <c r="E41" s="1"/>
  <c r="G51" i="83"/>
  <c r="F40" i="55"/>
  <c r="F97" s="1"/>
  <c r="E15" i="72"/>
  <c r="E39" s="1"/>
  <c r="F69" i="81"/>
  <c r="D125" i="55"/>
  <c r="F183" s="1"/>
  <c r="F238"/>
  <c r="C140"/>
  <c r="E198" s="1"/>
  <c r="E253"/>
  <c r="I201" i="53"/>
  <c r="I133"/>
  <c r="F166" i="55"/>
  <c r="H225" s="1"/>
  <c r="H276"/>
  <c r="F16" i="84"/>
  <c r="G77" i="83"/>
  <c r="D21" i="55"/>
  <c r="D78" s="1"/>
  <c r="E52" i="81"/>
  <c r="I227" i="53"/>
  <c r="E114"/>
  <c r="D121" i="55"/>
  <c r="F179" s="1"/>
  <c r="F234"/>
  <c r="E37" i="72"/>
  <c r="C33" i="55"/>
  <c r="E247" i="53"/>
  <c r="E183"/>
  <c r="G37"/>
  <c r="G90" s="1"/>
  <c r="H158" s="1"/>
  <c r="G106" i="83"/>
  <c r="F105" i="81"/>
  <c r="F22" i="53"/>
  <c r="F75" s="1"/>
  <c r="H36"/>
  <c r="H89" s="1"/>
  <c r="I157" s="1"/>
  <c r="H105" i="83"/>
  <c r="I36" i="53" s="1"/>
  <c r="I89" s="1"/>
  <c r="E140" i="72"/>
  <c r="F102" i="81"/>
  <c r="F19" i="53"/>
  <c r="F72" s="1"/>
  <c r="D22" i="55"/>
  <c r="D79" s="1"/>
  <c r="E53" i="81"/>
  <c r="F68"/>
  <c r="E14" i="72"/>
  <c r="E38" s="1"/>
  <c r="D30" i="84"/>
  <c r="E91" i="83"/>
  <c r="J243" i="53"/>
  <c r="F11" i="55"/>
  <c r="G42" i="81"/>
  <c r="D33" i="84"/>
  <c r="E94" i="83"/>
  <c r="E116" i="53"/>
  <c r="I229"/>
  <c r="F216"/>
  <c r="F148"/>
  <c r="D20" i="55"/>
  <c r="E51" i="81"/>
  <c r="F146" i="53"/>
  <c r="F214"/>
  <c r="E45" i="22"/>
  <c r="H159" i="29"/>
  <c r="H174"/>
  <c r="H144"/>
  <c r="H129"/>
  <c r="H35"/>
  <c r="F106" i="81"/>
  <c r="F23" i="53"/>
  <c r="F76" s="1"/>
  <c r="G20" i="84"/>
  <c r="G51" s="1"/>
  <c r="H81" i="83"/>
  <c r="H20" i="84" s="1"/>
  <c r="H51" s="1"/>
  <c r="G131" i="53"/>
  <c r="G199"/>
  <c r="D23" i="72"/>
  <c r="D47" s="1"/>
  <c r="E77" i="81"/>
  <c r="F52" i="53"/>
  <c r="F105" s="1"/>
  <c r="G173" s="1"/>
  <c r="F121" i="83"/>
  <c r="C136" i="55"/>
  <c r="E194" s="1"/>
  <c r="E249"/>
  <c r="D126"/>
  <c r="F184" s="1"/>
  <c r="F239"/>
  <c r="B161"/>
  <c r="D220" s="1"/>
  <c r="D274"/>
  <c r="H11" i="21"/>
  <c r="K36" i="61"/>
  <c r="I224" i="53"/>
  <c r="F52" i="22"/>
  <c r="D31" i="84"/>
  <c r="E92" i="83"/>
  <c r="F107" i="81"/>
  <c r="F24" i="53"/>
  <c r="F77" s="1"/>
  <c r="G98" i="81"/>
  <c r="G15" i="53"/>
  <c r="G68" s="1"/>
  <c r="E118"/>
  <c r="E294" i="55" l="1"/>
  <c r="D292"/>
  <c r="D291"/>
  <c r="D176" i="72"/>
  <c r="E171"/>
  <c r="D294" i="55"/>
  <c r="D293"/>
  <c r="E172" i="72"/>
  <c r="E293" i="55"/>
  <c r="P11" i="21"/>
  <c r="E144" i="72"/>
  <c r="F16"/>
  <c r="F40" s="1"/>
  <c r="G70" i="81"/>
  <c r="E70" i="72"/>
  <c r="G142" s="1"/>
  <c r="G155"/>
  <c r="E71"/>
  <c r="F14" i="55"/>
  <c r="F71" s="1"/>
  <c r="G45" i="81"/>
  <c r="F6" i="61"/>
  <c r="E260" i="53" s="1"/>
  <c r="E123" i="55"/>
  <c r="G181" s="1"/>
  <c r="G236"/>
  <c r="F21" i="84"/>
  <c r="F52" s="1"/>
  <c r="G82" i="83"/>
  <c r="H41" i="53"/>
  <c r="H94" s="1"/>
  <c r="H110" i="83"/>
  <c r="I41" i="53" s="1"/>
  <c r="I94" s="1"/>
  <c r="E152" i="55"/>
  <c r="G211" s="1"/>
  <c r="G265"/>
  <c r="H162" i="53"/>
  <c r="H230"/>
  <c r="G54" i="83"/>
  <c r="F43" i="55"/>
  <c r="F100" s="1"/>
  <c r="J130" i="53"/>
  <c r="J157"/>
  <c r="D61" i="55"/>
  <c r="N58" i="22"/>
  <c r="O55" s="1"/>
  <c r="O56" s="1"/>
  <c r="O57" s="1"/>
  <c r="H33" i="21"/>
  <c r="H34" i="53"/>
  <c r="H87" s="1"/>
  <c r="I155" s="1"/>
  <c r="H103" i="83"/>
  <c r="I34" i="53" s="1"/>
  <c r="I87" s="1"/>
  <c r="G237"/>
  <c r="F57" i="83"/>
  <c r="E46" i="55"/>
  <c r="E103" s="1"/>
  <c r="D153"/>
  <c r="F212" s="1"/>
  <c r="F266"/>
  <c r="G233" i="53"/>
  <c r="F84" i="83"/>
  <c r="E23" i="84"/>
  <c r="E54" s="1"/>
  <c r="G235" i="53"/>
  <c r="G48"/>
  <c r="G101" s="1"/>
  <c r="H169" s="1"/>
  <c r="G117" i="83"/>
  <c r="D154" i="55"/>
  <c r="F213" s="1"/>
  <c r="F267"/>
  <c r="H33" i="53"/>
  <c r="H86" s="1"/>
  <c r="I154" s="1"/>
  <c r="H102" i="83"/>
  <c r="I33" i="53" s="1"/>
  <c r="I86" s="1"/>
  <c r="G231"/>
  <c r="G234"/>
  <c r="D160" i="55"/>
  <c r="F219" s="1"/>
  <c r="F273"/>
  <c r="G232" i="53"/>
  <c r="F41" i="55"/>
  <c r="F98" s="1"/>
  <c r="G52" i="83"/>
  <c r="F36" i="55"/>
  <c r="F93" s="1"/>
  <c r="G47" i="83"/>
  <c r="G238" i="53"/>
  <c r="E144" i="55"/>
  <c r="G203" s="1"/>
  <c r="G257"/>
  <c r="G236" i="53"/>
  <c r="F61" i="83"/>
  <c r="E50" i="55"/>
  <c r="E107" s="1"/>
  <c r="D158"/>
  <c r="F217" s="1"/>
  <c r="F271"/>
  <c r="E47"/>
  <c r="E104" s="1"/>
  <c r="F58" i="83"/>
  <c r="E44" i="55"/>
  <c r="E101" s="1"/>
  <c r="F55" i="83"/>
  <c r="G44" i="53"/>
  <c r="G97" s="1"/>
  <c r="H165" s="1"/>
  <c r="G113" i="83"/>
  <c r="F89"/>
  <c r="E28" i="84"/>
  <c r="E59" s="1"/>
  <c r="H228" i="53"/>
  <c r="G75" i="83"/>
  <c r="F14" i="84"/>
  <c r="F45" s="1"/>
  <c r="G115" i="83"/>
  <c r="G46" i="53"/>
  <c r="G99" s="1"/>
  <c r="H167" s="1"/>
  <c r="F270" i="55"/>
  <c r="D157"/>
  <c r="F216" s="1"/>
  <c r="F90" i="83"/>
  <c r="E29" i="84"/>
  <c r="E60" s="1"/>
  <c r="F269" i="55"/>
  <c r="D156"/>
  <c r="F215" s="1"/>
  <c r="F85" i="83"/>
  <c r="E24" i="84"/>
  <c r="E55" s="1"/>
  <c r="H223" i="53"/>
  <c r="H108" i="83"/>
  <c r="I39" i="53" s="1"/>
  <c r="I92" s="1"/>
  <c r="J160" s="1"/>
  <c r="H39"/>
  <c r="H92" s="1"/>
  <c r="I160" s="1"/>
  <c r="F59" i="83"/>
  <c r="E48" i="55"/>
  <c r="E105" s="1"/>
  <c r="D155"/>
  <c r="F214" s="1"/>
  <c r="F268"/>
  <c r="E45"/>
  <c r="E102" s="1"/>
  <c r="F56" i="83"/>
  <c r="H222" i="53"/>
  <c r="G111" i="83"/>
  <c r="G42" i="53"/>
  <c r="G95" s="1"/>
  <c r="H163" s="1"/>
  <c r="G45"/>
  <c r="G98" s="1"/>
  <c r="H166" s="1"/>
  <c r="G114" i="83"/>
  <c r="E22" i="84"/>
  <c r="E53" s="1"/>
  <c r="F83" i="83"/>
  <c r="F88"/>
  <c r="E27" i="84"/>
  <c r="E58" s="1"/>
  <c r="E51" i="55"/>
  <c r="E108" s="1"/>
  <c r="F62" i="83"/>
  <c r="G43" i="53"/>
  <c r="G96" s="1"/>
  <c r="H164" s="1"/>
  <c r="G112" i="83"/>
  <c r="E150" i="55"/>
  <c r="G209" s="1"/>
  <c r="G263"/>
  <c r="F19" i="84"/>
  <c r="F50" s="1"/>
  <c r="G80" i="83"/>
  <c r="G258" i="55"/>
  <c r="E145"/>
  <c r="G204" s="1"/>
  <c r="F86" i="83"/>
  <c r="E25" i="84"/>
  <c r="E56" s="1"/>
  <c r="G49" i="53"/>
  <c r="G102" s="1"/>
  <c r="H170" s="1"/>
  <c r="G118" i="83"/>
  <c r="F87"/>
  <c r="E26" i="84"/>
  <c r="E57" s="1"/>
  <c r="G46" i="83"/>
  <c r="F35" i="55"/>
  <c r="F92" s="1"/>
  <c r="G116" i="83"/>
  <c r="G47" i="53"/>
  <c r="G100" s="1"/>
  <c r="H168" s="1"/>
  <c r="F272" i="55"/>
  <c r="D159"/>
  <c r="F218" s="1"/>
  <c r="E49"/>
  <c r="E106" s="1"/>
  <c r="F60" i="83"/>
  <c r="E35" i="61"/>
  <c r="F188" i="53"/>
  <c r="E191"/>
  <c r="F35" i="61" s="1"/>
  <c r="F48"/>
  <c r="F15"/>
  <c r="G6" s="1"/>
  <c r="G58" i="55"/>
  <c r="G115" s="1"/>
  <c r="H69" i="83"/>
  <c r="H58" i="55" s="1"/>
  <c r="H115" s="1"/>
  <c r="H49" i="81"/>
  <c r="H18" i="55" s="1"/>
  <c r="H75" s="1"/>
  <c r="G18"/>
  <c r="G75" s="1"/>
  <c r="G36" i="84"/>
  <c r="G64" s="1"/>
  <c r="H97" i="83"/>
  <c r="H36" i="84" s="1"/>
  <c r="H64" s="1"/>
  <c r="F167" i="55"/>
  <c r="H226" s="1"/>
  <c r="H277"/>
  <c r="F127"/>
  <c r="H185" s="1"/>
  <c r="H240"/>
  <c r="L45" i="22"/>
  <c r="F207" i="55"/>
  <c r="B12" i="21"/>
  <c r="G19" i="55"/>
  <c r="G76" s="1"/>
  <c r="H50" i="81"/>
  <c r="H19" i="55" s="1"/>
  <c r="H76" s="1"/>
  <c r="G21" i="72"/>
  <c r="G45" s="1"/>
  <c r="H75" i="81"/>
  <c r="H21" i="72" s="1"/>
  <c r="H45" s="1"/>
  <c r="L46" i="22"/>
  <c r="H241" i="55"/>
  <c r="F128"/>
  <c r="H186" s="1"/>
  <c r="G20" i="72"/>
  <c r="G44" s="1"/>
  <c r="H74" i="81"/>
  <c r="H20" i="72" s="1"/>
  <c r="H44" s="1"/>
  <c r="F116" i="53"/>
  <c r="G184" s="1"/>
  <c r="F119"/>
  <c r="G188" s="1"/>
  <c r="H42" i="81"/>
  <c r="H11" i="55" s="1"/>
  <c r="G11"/>
  <c r="F91" i="83"/>
  <c r="E30" i="84"/>
  <c r="E22" i="55"/>
  <c r="E79" s="1"/>
  <c r="F53" i="81"/>
  <c r="F182" i="53"/>
  <c r="F246"/>
  <c r="F15" i="72"/>
  <c r="F39" s="1"/>
  <c r="G69" i="81"/>
  <c r="F17" i="84"/>
  <c r="F48" s="1"/>
  <c r="G78" i="83"/>
  <c r="F95" i="55"/>
  <c r="D135"/>
  <c r="F193" s="1"/>
  <c r="F248"/>
  <c r="H10" i="53"/>
  <c r="H63" s="1"/>
  <c r="H93" i="81"/>
  <c r="I10" i="53" s="1"/>
  <c r="I63" s="1"/>
  <c r="G108" i="81"/>
  <c r="G25" i="53"/>
  <c r="G78" s="1"/>
  <c r="F154" i="84"/>
  <c r="F159" s="1"/>
  <c r="F168"/>
  <c r="F169"/>
  <c r="G234" i="55"/>
  <c r="E121"/>
  <c r="G179" s="1"/>
  <c r="E31"/>
  <c r="E88" s="1"/>
  <c r="F62" i="81"/>
  <c r="D187" i="55"/>
  <c r="D229" s="1"/>
  <c r="F178"/>
  <c r="G101" i="81"/>
  <c r="G18" i="53"/>
  <c r="G71" s="1"/>
  <c r="G150"/>
  <c r="G218"/>
  <c r="F68" i="55"/>
  <c r="D61" i="84"/>
  <c r="D39"/>
  <c r="D131" i="55"/>
  <c r="F189" s="1"/>
  <c r="F244"/>
  <c r="G105" i="81"/>
  <c r="G22" i="53"/>
  <c r="G75" s="1"/>
  <c r="E21" i="55"/>
  <c r="E78" s="1"/>
  <c r="F52" i="81"/>
  <c r="G71"/>
  <c r="F17" i="72"/>
  <c r="F41" s="1"/>
  <c r="D146"/>
  <c r="H146" i="55"/>
  <c r="J259"/>
  <c r="F255" i="53"/>
  <c r="E25" i="55"/>
  <c r="E82" s="1"/>
  <c r="F56" i="81"/>
  <c r="G103"/>
  <c r="G20" i="53"/>
  <c r="G73" s="1"/>
  <c r="G216"/>
  <c r="G148"/>
  <c r="H135"/>
  <c r="H203"/>
  <c r="H134"/>
  <c r="H202"/>
  <c r="O49" i="22"/>
  <c r="H240" i="53"/>
  <c r="E120" i="55"/>
  <c r="G233"/>
  <c r="F76" i="81"/>
  <c r="E22" i="72"/>
  <c r="E46" s="1"/>
  <c r="F254" i="53"/>
  <c r="B22" i="21"/>
  <c r="D275" i="53"/>
  <c r="D277" s="1"/>
  <c r="G145"/>
  <c r="G213"/>
  <c r="F77" i="81"/>
  <c r="E23" i="72"/>
  <c r="E47" s="1"/>
  <c r="G144" i="53"/>
  <c r="G212"/>
  <c r="F45" i="22"/>
  <c r="D77" i="55"/>
  <c r="D33"/>
  <c r="G153" i="72"/>
  <c r="E63"/>
  <c r="E64"/>
  <c r="G140" i="53"/>
  <c r="G208"/>
  <c r="J225"/>
  <c r="H37"/>
  <c r="H90" s="1"/>
  <c r="I158" s="1"/>
  <c r="H106" i="83"/>
  <c r="I37" i="53" s="1"/>
  <c r="I90" s="1"/>
  <c r="J158" s="1"/>
  <c r="F115"/>
  <c r="D130" i="55"/>
  <c r="F188" s="1"/>
  <c r="F243"/>
  <c r="F149"/>
  <c r="H208" s="1"/>
  <c r="H262"/>
  <c r="D32" i="72"/>
  <c r="H11" i="53"/>
  <c r="H64" s="1"/>
  <c r="H94" i="81"/>
  <c r="I11" i="53" s="1"/>
  <c r="I64" s="1"/>
  <c r="G146" i="55"/>
  <c r="I205" s="1"/>
  <c r="I259"/>
  <c r="G149" i="53"/>
  <c r="G217"/>
  <c r="D132" i="55"/>
  <c r="F190" s="1"/>
  <c r="F245"/>
  <c r="F30"/>
  <c r="F87" s="1"/>
  <c r="G61" i="81"/>
  <c r="G237" i="55"/>
  <c r="E124"/>
  <c r="G182" s="1"/>
  <c r="D134"/>
  <c r="F192" s="1"/>
  <c r="F247"/>
  <c r="G142" i="53"/>
  <c r="G210"/>
  <c r="E26" i="72"/>
  <c r="E50" s="1"/>
  <c r="F80" i="81"/>
  <c r="F93" i="83"/>
  <c r="E32" i="84"/>
  <c r="E24" i="55"/>
  <c r="E81" s="1"/>
  <c r="F55" i="81"/>
  <c r="G239" i="53"/>
  <c r="E122" i="55"/>
  <c r="G180" s="1"/>
  <c r="G235"/>
  <c r="E126"/>
  <c r="G184" s="1"/>
  <c r="G239"/>
  <c r="G110" i="81"/>
  <c r="G27" i="53"/>
  <c r="G80" s="1"/>
  <c r="E148" i="55"/>
  <c r="G207" s="1"/>
  <c r="G261"/>
  <c r="I198" i="53"/>
  <c r="F118"/>
  <c r="G59" i="55"/>
  <c r="G116" s="1"/>
  <c r="H70" i="83"/>
  <c r="H59" i="55" s="1"/>
  <c r="H116" s="1"/>
  <c r="G18" i="84"/>
  <c r="G49" s="1"/>
  <c r="H79" i="83"/>
  <c r="H18" i="84" s="1"/>
  <c r="H49" s="1"/>
  <c r="H166" i="55"/>
  <c r="J276"/>
  <c r="F16"/>
  <c r="F73" s="1"/>
  <c r="G47" i="81"/>
  <c r="H13" i="53"/>
  <c r="H66" s="1"/>
  <c r="H96" i="81"/>
  <c r="I13" i="53" s="1"/>
  <c r="I66" s="1"/>
  <c r="H151" i="55"/>
  <c r="J264"/>
  <c r="E165"/>
  <c r="G224" s="1"/>
  <c r="G275"/>
  <c r="F140" i="72"/>
  <c r="E46" i="22"/>
  <c r="F63" i="83"/>
  <c r="E52" i="55"/>
  <c r="E109" s="1"/>
  <c r="H136" i="53"/>
  <c r="H204"/>
  <c r="G49" i="22"/>
  <c r="G121" i="83"/>
  <c r="G52" i="53"/>
  <c r="G105" s="1"/>
  <c r="H173" s="1"/>
  <c r="E33" i="84"/>
  <c r="F94" i="83"/>
  <c r="G211" i="53"/>
  <c r="G143"/>
  <c r="H77" i="83"/>
  <c r="H16" i="84" s="1"/>
  <c r="G16"/>
  <c r="E124"/>
  <c r="E141" s="1"/>
  <c r="G164"/>
  <c r="G167"/>
  <c r="E126"/>
  <c r="E143" s="1"/>
  <c r="G156" s="1"/>
  <c r="E125"/>
  <c r="E142" s="1"/>
  <c r="G155" s="1"/>
  <c r="G163"/>
  <c r="E28" i="55"/>
  <c r="E85" s="1"/>
  <c r="F59" i="81"/>
  <c r="E156" i="72"/>
  <c r="C12"/>
  <c r="C35"/>
  <c r="E170" s="1"/>
  <c r="G141" i="53"/>
  <c r="G209"/>
  <c r="F81" i="81"/>
  <c r="E27" i="72"/>
  <c r="E51" s="1"/>
  <c r="F37"/>
  <c r="E24"/>
  <c r="E48" s="1"/>
  <c r="F78" i="81"/>
  <c r="G154" i="72"/>
  <c r="E78"/>
  <c r="E79"/>
  <c r="D136" i="55"/>
  <c r="F194" s="1"/>
  <c r="F249"/>
  <c r="H14" i="53"/>
  <c r="H67" s="1"/>
  <c r="H97" i="81"/>
  <c r="I14" i="53" s="1"/>
  <c r="I67" s="1"/>
  <c r="H54"/>
  <c r="H107" s="1"/>
  <c r="I175" s="1"/>
  <c r="H123" i="83"/>
  <c r="I54" i="53" s="1"/>
  <c r="I107" s="1"/>
  <c r="F251" i="55"/>
  <c r="D138"/>
  <c r="F196" s="1"/>
  <c r="H15" i="53"/>
  <c r="H68" s="1"/>
  <c r="H98" i="81"/>
  <c r="I15" i="53" s="1"/>
  <c r="I68" s="1"/>
  <c r="E31" i="84"/>
  <c r="F92" i="83"/>
  <c r="E20" i="55"/>
  <c r="E77" s="1"/>
  <c r="F51" i="81"/>
  <c r="C65" i="55"/>
  <c r="E200" s="1"/>
  <c r="C10"/>
  <c r="F47" i="84"/>
  <c r="H132" i="53"/>
  <c r="H200"/>
  <c r="D137" i="55"/>
  <c r="F195" s="1"/>
  <c r="F250"/>
  <c r="E23"/>
  <c r="E80" s="1"/>
  <c r="F54" i="81"/>
  <c r="E139" i="55"/>
  <c r="G197" s="1"/>
  <c r="G252"/>
  <c r="F15"/>
  <c r="F72" s="1"/>
  <c r="G46" i="81"/>
  <c r="H131" i="53"/>
  <c r="H199"/>
  <c r="E187" i="55"/>
  <c r="G13" i="72"/>
  <c r="H67" i="81"/>
  <c r="H13" i="72" s="1"/>
  <c r="G44" i="81"/>
  <c r="F13" i="55"/>
  <c r="F70" s="1"/>
  <c r="F19" i="72"/>
  <c r="F43" s="1"/>
  <c r="G73" i="81"/>
  <c r="F17" i="55"/>
  <c r="F74" s="1"/>
  <c r="G48" i="81"/>
  <c r="F39" i="55"/>
  <c r="F96" s="1"/>
  <c r="G50" i="83"/>
  <c r="J198" i="53"/>
  <c r="F168" i="55"/>
  <c r="H227" s="1"/>
  <c r="H278"/>
  <c r="F247" i="53"/>
  <c r="F183"/>
  <c r="D140" i="55"/>
  <c r="F198" s="1"/>
  <c r="F253"/>
  <c r="G51" i="53"/>
  <c r="G104" s="1"/>
  <c r="H172" s="1"/>
  <c r="G120" i="83"/>
  <c r="G29" i="53"/>
  <c r="G82" s="1"/>
  <c r="G112" i="81"/>
  <c r="F187" i="53"/>
  <c r="F251"/>
  <c r="G24"/>
  <c r="G77" s="1"/>
  <c r="G107" i="81"/>
  <c r="I35" i="29"/>
  <c r="I174"/>
  <c r="I159"/>
  <c r="I144"/>
  <c r="I129"/>
  <c r="D95" i="72"/>
  <c r="F139" s="1"/>
  <c r="F152"/>
  <c r="D96"/>
  <c r="G106" i="81"/>
  <c r="G23" i="53"/>
  <c r="G76" s="1"/>
  <c r="F184"/>
  <c r="F248"/>
  <c r="G68" i="81"/>
  <c r="F14" i="72"/>
  <c r="F38" s="1"/>
  <c r="G19" i="53"/>
  <c r="G72" s="1"/>
  <c r="G102" i="81"/>
  <c r="I225" i="53"/>
  <c r="H226"/>
  <c r="O64" i="22"/>
  <c r="P61" s="1"/>
  <c r="G40" i="55"/>
  <c r="G97" s="1"/>
  <c r="H51" i="83"/>
  <c r="H40" i="55" s="1"/>
  <c r="H97" s="1"/>
  <c r="B29" i="21"/>
  <c r="G53" i="53"/>
  <c r="G106" s="1"/>
  <c r="H174" s="1"/>
  <c r="G122" i="83"/>
  <c r="F34" i="84"/>
  <c r="F62" s="1"/>
  <c r="G95" i="83"/>
  <c r="G111" i="81"/>
  <c r="G28" i="53"/>
  <c r="G81" s="1"/>
  <c r="G38" i="55"/>
  <c r="H49" i="83"/>
  <c r="H38" i="55" s="1"/>
  <c r="H95" s="1"/>
  <c r="C13" i="21"/>
  <c r="F40" i="61"/>
  <c r="F141" i="72"/>
  <c r="E26" i="55"/>
  <c r="E83" s="1"/>
  <c r="F57" i="81"/>
  <c r="G21" i="53"/>
  <c r="G74" s="1"/>
  <c r="G104" i="81"/>
  <c r="D133" i="55"/>
  <c r="F191" s="1"/>
  <c r="F246"/>
  <c r="E28" i="72"/>
  <c r="E52" s="1"/>
  <c r="F82" i="81"/>
  <c r="G50" i="53"/>
  <c r="G103" s="1"/>
  <c r="H171" s="1"/>
  <c r="G119" i="83"/>
  <c r="G72" i="81"/>
  <c r="F18" i="72"/>
  <c r="F42" s="1"/>
  <c r="F83" i="81"/>
  <c r="E29" i="72"/>
  <c r="E53" s="1"/>
  <c r="F79" i="81"/>
  <c r="E25" i="72"/>
  <c r="E49" s="1"/>
  <c r="E27" i="55"/>
  <c r="E84" s="1"/>
  <c r="F58" i="81"/>
  <c r="G146" i="53"/>
  <c r="G214"/>
  <c r="G37" i="84"/>
  <c r="G65" s="1"/>
  <c r="H98" i="83"/>
  <c r="H37" i="84" s="1"/>
  <c r="H65" s="1"/>
  <c r="E30" i="72"/>
  <c r="E54" s="1"/>
  <c r="F84" i="81"/>
  <c r="F12" i="55"/>
  <c r="F69" s="1"/>
  <c r="G43" i="81"/>
  <c r="G166" i="55"/>
  <c r="I225" s="1"/>
  <c r="I276"/>
  <c r="E125"/>
  <c r="G183" s="1"/>
  <c r="G238"/>
  <c r="N51" i="22"/>
  <c r="G151" i="55"/>
  <c r="I210" s="1"/>
  <c r="I264"/>
  <c r="F56"/>
  <c r="F113" s="1"/>
  <c r="G67" i="83"/>
  <c r="F85" i="81"/>
  <c r="E31" i="72"/>
  <c r="E55" s="1"/>
  <c r="D165" i="84"/>
  <c r="D166"/>
  <c r="E220" i="55"/>
  <c r="G207" i="53"/>
  <c r="G139"/>
  <c r="F114"/>
  <c r="E29" i="55"/>
  <c r="E86" s="1"/>
  <c r="F60" i="81"/>
  <c r="C12" i="84"/>
  <c r="C42"/>
  <c r="C37" i="29"/>
  <c r="C161"/>
  <c r="C146"/>
  <c r="C131"/>
  <c r="C176"/>
  <c r="E147" i="55"/>
  <c r="G206" s="1"/>
  <c r="G260"/>
  <c r="D161"/>
  <c r="F220" s="1"/>
  <c r="F274"/>
  <c r="E168" i="72" l="1"/>
  <c r="E169"/>
  <c r="E292" i="55"/>
  <c r="E291"/>
  <c r="D297"/>
  <c r="B28" i="21" s="1"/>
  <c r="B36" s="1"/>
  <c r="C175" i="29"/>
  <c r="J12" i="21"/>
  <c r="F123" i="55"/>
  <c r="H181" s="1"/>
  <c r="H236"/>
  <c r="H70" i="81"/>
  <c r="H16" i="72" s="1"/>
  <c r="H40" s="1"/>
  <c r="G16"/>
  <c r="G40" s="1"/>
  <c r="H45" i="81"/>
  <c r="H14" i="55" s="1"/>
  <c r="H71" s="1"/>
  <c r="G14"/>
  <c r="G71" s="1"/>
  <c r="F70" i="72"/>
  <c r="H142" s="1"/>
  <c r="F71"/>
  <c r="H155"/>
  <c r="J162" i="53"/>
  <c r="J230"/>
  <c r="I162"/>
  <c r="I230"/>
  <c r="F152" i="55"/>
  <c r="H211" s="1"/>
  <c r="H265"/>
  <c r="G21" i="84"/>
  <c r="G52" s="1"/>
  <c r="H82" i="83"/>
  <c r="H21" i="84" s="1"/>
  <c r="H52" s="1"/>
  <c r="G43" i="55"/>
  <c r="G100" s="1"/>
  <c r="H54" i="83"/>
  <c r="H43" i="55" s="1"/>
  <c r="H100" s="1"/>
  <c r="J154" i="53"/>
  <c r="J175"/>
  <c r="J155"/>
  <c r="H236"/>
  <c r="H235"/>
  <c r="H44"/>
  <c r="H97" s="1"/>
  <c r="I165" s="1"/>
  <c r="H113" i="83"/>
  <c r="I44" i="53" s="1"/>
  <c r="I97" s="1"/>
  <c r="G272" i="55"/>
  <c r="E159"/>
  <c r="G218" s="1"/>
  <c r="H117" i="83"/>
  <c r="I48" i="53" s="1"/>
  <c r="I101" s="1"/>
  <c r="H48"/>
  <c r="H101" s="1"/>
  <c r="I169" s="1"/>
  <c r="H257" i="55"/>
  <c r="F144"/>
  <c r="H203" s="1"/>
  <c r="H49" i="53"/>
  <c r="H102" s="1"/>
  <c r="I170" s="1"/>
  <c r="H118" i="83"/>
  <c r="I49" i="53" s="1"/>
  <c r="I102" s="1"/>
  <c r="J170" s="1"/>
  <c r="F51" i="55"/>
  <c r="F108" s="1"/>
  <c r="G62" i="83"/>
  <c r="G83"/>
  <c r="F22" i="84"/>
  <c r="F53" s="1"/>
  <c r="H231" i="53"/>
  <c r="F45" i="55"/>
  <c r="F102" s="1"/>
  <c r="G56" i="83"/>
  <c r="E157" i="55"/>
  <c r="G216" s="1"/>
  <c r="G270"/>
  <c r="G55" i="83"/>
  <c r="F44" i="55"/>
  <c r="F101" s="1"/>
  <c r="G41"/>
  <c r="G98" s="1"/>
  <c r="H52" i="83"/>
  <c r="H41" i="55" s="1"/>
  <c r="H98" s="1"/>
  <c r="G268"/>
  <c r="E155"/>
  <c r="G214" s="1"/>
  <c r="J223" i="53"/>
  <c r="F49" i="55"/>
  <c r="F106" s="1"/>
  <c r="G60" i="83"/>
  <c r="G19" i="84"/>
  <c r="G50" s="1"/>
  <c r="H80" i="83"/>
  <c r="H19" i="84" s="1"/>
  <c r="H50" s="1"/>
  <c r="H112" i="83"/>
  <c r="I43" i="53" s="1"/>
  <c r="I96" s="1"/>
  <c r="H43"/>
  <c r="H96" s="1"/>
  <c r="I164" s="1"/>
  <c r="H114" i="83"/>
  <c r="I45" i="53" s="1"/>
  <c r="I98" s="1"/>
  <c r="H45"/>
  <c r="H98" s="1"/>
  <c r="I166" s="1"/>
  <c r="I228"/>
  <c r="G58" i="83"/>
  <c r="F47" i="55"/>
  <c r="F104" s="1"/>
  <c r="G36"/>
  <c r="G93" s="1"/>
  <c r="H47" i="83"/>
  <c r="H36" i="55" s="1"/>
  <c r="H93" s="1"/>
  <c r="J222" i="53"/>
  <c r="G252"/>
  <c r="G271" i="55"/>
  <c r="E158"/>
  <c r="G217" s="1"/>
  <c r="H47" i="53"/>
  <c r="H100" s="1"/>
  <c r="I168" s="1"/>
  <c r="H116" i="83"/>
  <c r="I47" i="53" s="1"/>
  <c r="I100" s="1"/>
  <c r="F26" i="84"/>
  <c r="F57" s="1"/>
  <c r="G87" i="83"/>
  <c r="F25" i="84"/>
  <c r="F56" s="1"/>
  <c r="G86" i="83"/>
  <c r="H232" i="53"/>
  <c r="G88" i="83"/>
  <c r="F27" i="84"/>
  <c r="F58" s="1"/>
  <c r="H234" i="53"/>
  <c r="J228"/>
  <c r="F24" i="84"/>
  <c r="F55" s="1"/>
  <c r="G85" i="83"/>
  <c r="F29" i="84"/>
  <c r="F60" s="1"/>
  <c r="G90" i="83"/>
  <c r="H46" i="53"/>
  <c r="H99" s="1"/>
  <c r="I167" s="1"/>
  <c r="H115" i="83"/>
  <c r="I46" i="53" s="1"/>
  <c r="I99" s="1"/>
  <c r="H233"/>
  <c r="G269" i="55"/>
  <c r="E156"/>
  <c r="G215" s="1"/>
  <c r="G61" i="83"/>
  <c r="F50" i="55"/>
  <c r="F107" s="1"/>
  <c r="F145"/>
  <c r="H204" s="1"/>
  <c r="H258"/>
  <c r="I222" i="53"/>
  <c r="H237"/>
  <c r="G84" i="83"/>
  <c r="F23" i="84"/>
  <c r="F54" s="1"/>
  <c r="C12" i="21"/>
  <c r="H46" i="83"/>
  <c r="H35" i="55" s="1"/>
  <c r="H92" s="1"/>
  <c r="G35"/>
  <c r="G92" s="1"/>
  <c r="H238" i="53"/>
  <c r="E160" i="55"/>
  <c r="G219" s="1"/>
  <c r="G273"/>
  <c r="H111" i="83"/>
  <c r="I42" i="53" s="1"/>
  <c r="I95" s="1"/>
  <c r="J163" s="1"/>
  <c r="H42"/>
  <c r="H95" s="1"/>
  <c r="I163" s="1"/>
  <c r="E154" i="55"/>
  <c r="G213" s="1"/>
  <c r="G267"/>
  <c r="F48"/>
  <c r="F105" s="1"/>
  <c r="G59" i="83"/>
  <c r="H75"/>
  <c r="H14" i="84" s="1"/>
  <c r="H45" s="1"/>
  <c r="G14"/>
  <c r="G45" s="1"/>
  <c r="G89" i="83"/>
  <c r="F28" i="84"/>
  <c r="F59" s="1"/>
  <c r="G266" i="55"/>
  <c r="E153"/>
  <c r="G212" s="1"/>
  <c r="F150"/>
  <c r="H209" s="1"/>
  <c r="H263"/>
  <c r="F46"/>
  <c r="F103" s="1"/>
  <c r="G57" i="83"/>
  <c r="I223" i="53"/>
  <c r="F171" i="72"/>
  <c r="M43" i="22"/>
  <c r="M44" s="1"/>
  <c r="M46" s="1"/>
  <c r="E18" i="61"/>
  <c r="F9" s="1"/>
  <c r="E53"/>
  <c r="G48"/>
  <c r="G15"/>
  <c r="H6" s="1"/>
  <c r="F191" i="53"/>
  <c r="G248"/>
  <c r="E261"/>
  <c r="E263" s="1"/>
  <c r="G254"/>
  <c r="C130" i="29"/>
  <c r="E17" i="61"/>
  <c r="F8" s="1"/>
  <c r="E51"/>
  <c r="E37"/>
  <c r="D148" i="72"/>
  <c r="B9" i="21" s="1"/>
  <c r="E50" i="61"/>
  <c r="E16"/>
  <c r="D286" i="55" s="1"/>
  <c r="D288" s="1"/>
  <c r="C145" i="29"/>
  <c r="C36"/>
  <c r="C160"/>
  <c r="H128" i="55"/>
  <c r="J241"/>
  <c r="G127"/>
  <c r="I185" s="1"/>
  <c r="I240"/>
  <c r="J277"/>
  <c r="H167"/>
  <c r="J210"/>
  <c r="O58" i="22"/>
  <c r="P55" s="1"/>
  <c r="P56" s="1"/>
  <c r="P57" s="1"/>
  <c r="G128" i="55"/>
  <c r="I186" s="1"/>
  <c r="I241"/>
  <c r="H127"/>
  <c r="J240"/>
  <c r="G167"/>
  <c r="I226" s="1"/>
  <c r="I277"/>
  <c r="E229"/>
  <c r="G116" i="53"/>
  <c r="H248" s="1"/>
  <c r="F165" i="55"/>
  <c r="H224" s="1"/>
  <c r="H275"/>
  <c r="F30" i="72"/>
  <c r="F54" s="1"/>
  <c r="G84" i="81"/>
  <c r="G83"/>
  <c r="F29" i="72"/>
  <c r="F53" s="1"/>
  <c r="H239" i="53"/>
  <c r="E135" i="55"/>
  <c r="G193" s="1"/>
  <c r="G248"/>
  <c r="E32" i="72"/>
  <c r="G14"/>
  <c r="G38" s="1"/>
  <c r="H68" i="81"/>
  <c r="H14" i="72" s="1"/>
  <c r="H38" s="1"/>
  <c r="H29" i="53"/>
  <c r="H82" s="1"/>
  <c r="H112" i="81"/>
  <c r="I29" i="53" s="1"/>
  <c r="I82" s="1"/>
  <c r="G39" i="55"/>
  <c r="G96" s="1"/>
  <c r="H50" i="83"/>
  <c r="H39" i="55" s="1"/>
  <c r="G13"/>
  <c r="G70" s="1"/>
  <c r="H44" i="81"/>
  <c r="H13" i="55" s="1"/>
  <c r="H70" s="1"/>
  <c r="F124"/>
  <c r="H182" s="1"/>
  <c r="H237"/>
  <c r="G242"/>
  <c r="E129"/>
  <c r="J240" i="53"/>
  <c r="G141" i="72"/>
  <c r="G154" i="84"/>
  <c r="G159" s="1"/>
  <c r="G169"/>
  <c r="G168"/>
  <c r="F24" i="55"/>
  <c r="F81" s="1"/>
  <c r="G55" i="81"/>
  <c r="G30" i="55"/>
  <c r="G87" s="1"/>
  <c r="H61" i="81"/>
  <c r="H30" i="55" s="1"/>
  <c r="H87" s="1"/>
  <c r="G140" i="72"/>
  <c r="H20" i="53"/>
  <c r="H73" s="1"/>
  <c r="H103" i="81"/>
  <c r="I20" i="53" s="1"/>
  <c r="I73" s="1"/>
  <c r="F30" i="84"/>
  <c r="G91" i="83"/>
  <c r="F260" i="53"/>
  <c r="F78" i="72"/>
  <c r="H154"/>
  <c r="F79"/>
  <c r="F28"/>
  <c r="F52" s="1"/>
  <c r="G82" i="81"/>
  <c r="H21" i="53"/>
  <c r="H74" s="1"/>
  <c r="H104" i="81"/>
  <c r="I21" i="53" s="1"/>
  <c r="I74" s="1"/>
  <c r="G34" i="84"/>
  <c r="G62" s="1"/>
  <c r="H95" i="83"/>
  <c r="H34" i="84" s="1"/>
  <c r="H62" s="1"/>
  <c r="J262" i="55"/>
  <c r="H149"/>
  <c r="H19" i="53"/>
  <c r="H72" s="1"/>
  <c r="H102" i="81"/>
  <c r="I19" i="53" s="1"/>
  <c r="I72" s="1"/>
  <c r="H212"/>
  <c r="H144"/>
  <c r="G17" i="55"/>
  <c r="G74" s="1"/>
  <c r="H48" i="81"/>
  <c r="H17" i="55" s="1"/>
  <c r="H74" s="1"/>
  <c r="E297"/>
  <c r="C28" i="21" s="1"/>
  <c r="I240" i="53"/>
  <c r="F28" i="55"/>
  <c r="F85" s="1"/>
  <c r="G59" i="81"/>
  <c r="G47" i="84"/>
  <c r="H121" i="83"/>
  <c r="I52" i="53" s="1"/>
  <c r="I105" s="1"/>
  <c r="H52"/>
  <c r="H105" s="1"/>
  <c r="I173" s="1"/>
  <c r="F52" i="55"/>
  <c r="G63" i="83"/>
  <c r="J202" i="53"/>
  <c r="J134"/>
  <c r="G178" i="55"/>
  <c r="O50" i="22"/>
  <c r="G56" i="81"/>
  <c r="F25" i="55"/>
  <c r="F82" s="1"/>
  <c r="H233"/>
  <c r="F120"/>
  <c r="G40" i="61"/>
  <c r="D13" i="21"/>
  <c r="E165" i="84"/>
  <c r="E166"/>
  <c r="G12" i="55"/>
  <c r="G69" s="1"/>
  <c r="H43" i="81"/>
  <c r="H12" i="55" s="1"/>
  <c r="H69" s="1"/>
  <c r="F27"/>
  <c r="F84" s="1"/>
  <c r="G58" i="81"/>
  <c r="G18" i="72"/>
  <c r="G42" s="1"/>
  <c r="H72" i="81"/>
  <c r="H18" i="72" s="1"/>
  <c r="H42" s="1"/>
  <c r="H142" i="53"/>
  <c r="H210"/>
  <c r="F172" i="72"/>
  <c r="D176" i="29"/>
  <c r="D161"/>
  <c r="D146"/>
  <c r="D131"/>
  <c r="D37"/>
  <c r="H28" i="53"/>
  <c r="H81" s="1"/>
  <c r="H111" i="81"/>
  <c r="I28" i="53" s="1"/>
  <c r="I81" s="1"/>
  <c r="F126" i="84"/>
  <c r="F143" s="1"/>
  <c r="H156" s="1"/>
  <c r="F125"/>
  <c r="F142" s="1"/>
  <c r="H155" s="1"/>
  <c r="H163"/>
  <c r="H164"/>
  <c r="H167"/>
  <c r="F124"/>
  <c r="F141" s="1"/>
  <c r="I262" i="55"/>
  <c r="G149"/>
  <c r="I208" s="1"/>
  <c r="H140" i="53"/>
  <c r="H208"/>
  <c r="H23"/>
  <c r="H76" s="1"/>
  <c r="H106" i="81"/>
  <c r="I23" i="53" s="1"/>
  <c r="I76" s="1"/>
  <c r="H51"/>
  <c r="H104" s="1"/>
  <c r="I172" s="1"/>
  <c r="H120" i="83"/>
  <c r="I51" i="53" s="1"/>
  <c r="I104" s="1"/>
  <c r="F126" i="55"/>
  <c r="H184" s="1"/>
  <c r="H239"/>
  <c r="J203" i="53"/>
  <c r="J135"/>
  <c r="E146" i="72"/>
  <c r="E148" s="1"/>
  <c r="G60" i="81"/>
  <c r="F29" i="55"/>
  <c r="F86" s="1"/>
  <c r="G56"/>
  <c r="G113" s="1"/>
  <c r="H67" i="83"/>
  <c r="H56" i="55" s="1"/>
  <c r="H113" s="1"/>
  <c r="F121"/>
  <c r="H179" s="1"/>
  <c r="H234"/>
  <c r="E136"/>
  <c r="G194" s="1"/>
  <c r="G249"/>
  <c r="H50" i="53"/>
  <c r="H103" s="1"/>
  <c r="I171" s="1"/>
  <c r="H119" i="83"/>
  <c r="I50" i="53" s="1"/>
  <c r="I103" s="1"/>
  <c r="F26" i="55"/>
  <c r="F83" s="1"/>
  <c r="G57" i="81"/>
  <c r="J260" i="55"/>
  <c r="H147"/>
  <c r="H53" i="53"/>
  <c r="H106" s="1"/>
  <c r="I174" s="1"/>
  <c r="H122" i="83"/>
  <c r="I53" i="53" s="1"/>
  <c r="I106" s="1"/>
  <c r="P62" i="22"/>
  <c r="P63" s="1"/>
  <c r="F63" i="72"/>
  <c r="H153"/>
  <c r="F64"/>
  <c r="H24" i="53"/>
  <c r="H77" s="1"/>
  <c r="H107" i="81"/>
  <c r="I24" i="53" s="1"/>
  <c r="I77" s="1"/>
  <c r="F122" i="55"/>
  <c r="H180" s="1"/>
  <c r="H235"/>
  <c r="H37" i="72"/>
  <c r="H46" i="81"/>
  <c r="H15" i="55" s="1"/>
  <c r="H72" s="1"/>
  <c r="G15"/>
  <c r="G72" s="1"/>
  <c r="F23"/>
  <c r="F80" s="1"/>
  <c r="G54" i="81"/>
  <c r="G118" i="53"/>
  <c r="F20" i="55"/>
  <c r="F77" s="1"/>
  <c r="G51" i="81"/>
  <c r="J204" i="53"/>
  <c r="J136"/>
  <c r="I135"/>
  <c r="I203"/>
  <c r="G81" i="81"/>
  <c r="F27" i="72"/>
  <c r="F51" s="1"/>
  <c r="G52" i="22"/>
  <c r="F43"/>
  <c r="E33" i="55"/>
  <c r="G16"/>
  <c r="G73" s="1"/>
  <c r="H47" i="81"/>
  <c r="H16" i="55" s="1"/>
  <c r="H73" s="1"/>
  <c r="J278"/>
  <c r="H168"/>
  <c r="F32" i="84"/>
  <c r="G93" i="83"/>
  <c r="G32" i="84" s="1"/>
  <c r="D35" i="72"/>
  <c r="F156"/>
  <c r="D12"/>
  <c r="G45" i="22"/>
  <c r="F23" i="72"/>
  <c r="F47" s="1"/>
  <c r="G77" i="81"/>
  <c r="G76"/>
  <c r="F22" i="72"/>
  <c r="F46" s="1"/>
  <c r="H141" i="53"/>
  <c r="H209"/>
  <c r="J205" i="55"/>
  <c r="G17" i="72"/>
  <c r="G41" s="1"/>
  <c r="H71" i="81"/>
  <c r="H17" i="72" s="1"/>
  <c r="H41" s="1"/>
  <c r="H22" i="53"/>
  <c r="H75" s="1"/>
  <c r="H105" i="81"/>
  <c r="I22" i="53" s="1"/>
  <c r="I75" s="1"/>
  <c r="H25"/>
  <c r="H78" s="1"/>
  <c r="H108" i="81"/>
  <c r="I25" i="53" s="1"/>
  <c r="I78" s="1"/>
  <c r="G15" i="72"/>
  <c r="G39" s="1"/>
  <c r="H69" i="81"/>
  <c r="H15" i="72" s="1"/>
  <c r="H39" s="1"/>
  <c r="E61" i="84"/>
  <c r="E39"/>
  <c r="E138" i="55"/>
  <c r="G196" s="1"/>
  <c r="G251"/>
  <c r="G95"/>
  <c r="G114" i="53"/>
  <c r="H213"/>
  <c r="H145"/>
  <c r="G37" i="72"/>
  <c r="G245" i="55"/>
  <c r="E132"/>
  <c r="G190" s="1"/>
  <c r="I136" i="53"/>
  <c r="I204"/>
  <c r="G274" i="55"/>
  <c r="E161"/>
  <c r="G220" s="1"/>
  <c r="E61"/>
  <c r="F125"/>
  <c r="H183" s="1"/>
  <c r="H238"/>
  <c r="I278"/>
  <c r="G168"/>
  <c r="I227" s="1"/>
  <c r="F26" i="72"/>
  <c r="F50" s="1"/>
  <c r="G80" i="81"/>
  <c r="G247" i="53"/>
  <c r="G183"/>
  <c r="D65" i="55"/>
  <c r="F200" s="1"/>
  <c r="D10"/>
  <c r="G52" i="81"/>
  <c r="F21" i="55"/>
  <c r="F78" s="1"/>
  <c r="B8" i="21"/>
  <c r="J199" i="53"/>
  <c r="J131"/>
  <c r="G119"/>
  <c r="G182"/>
  <c r="G246"/>
  <c r="G255"/>
  <c r="G85" i="81"/>
  <c r="F31" i="72"/>
  <c r="F55" s="1"/>
  <c r="G79" i="81"/>
  <c r="F25" i="72"/>
  <c r="F49" s="1"/>
  <c r="H149" i="53"/>
  <c r="H217"/>
  <c r="H218"/>
  <c r="H150"/>
  <c r="F148" i="55"/>
  <c r="H207" s="1"/>
  <c r="H261"/>
  <c r="G19" i="72"/>
  <c r="G43" s="1"/>
  <c r="H73" i="81"/>
  <c r="H19" i="72" s="1"/>
  <c r="H43" s="1"/>
  <c r="G92" i="83"/>
  <c r="G31" i="84" s="1"/>
  <c r="F31"/>
  <c r="F144" i="72"/>
  <c r="G251" i="53"/>
  <c r="G187"/>
  <c r="H148"/>
  <c r="H216"/>
  <c r="E133" i="55"/>
  <c r="G191" s="1"/>
  <c r="G246"/>
  <c r="F139"/>
  <c r="H197" s="1"/>
  <c r="H252"/>
  <c r="J200" i="53"/>
  <c r="J132"/>
  <c r="J226"/>
  <c r="D129" i="55"/>
  <c r="F242"/>
  <c r="E130"/>
  <c r="G188" s="1"/>
  <c r="G243"/>
  <c r="H139" i="53"/>
  <c r="H207"/>
  <c r="F31" i="55"/>
  <c r="F88" s="1"/>
  <c r="G62" i="81"/>
  <c r="I131" i="53"/>
  <c r="I199"/>
  <c r="F147" i="55"/>
  <c r="H206" s="1"/>
  <c r="H260"/>
  <c r="F22"/>
  <c r="F79" s="1"/>
  <c r="G53" i="81"/>
  <c r="G68" i="55"/>
  <c r="F24" i="72"/>
  <c r="F48" s="1"/>
  <c r="G78" i="81"/>
  <c r="G250" i="55"/>
  <c r="E137"/>
  <c r="G195" s="1"/>
  <c r="H47" i="84"/>
  <c r="G94" i="83"/>
  <c r="G33" i="84" s="1"/>
  <c r="F33"/>
  <c r="I202" i="53"/>
  <c r="I134"/>
  <c r="J225" i="55"/>
  <c r="H27" i="53"/>
  <c r="H80" s="1"/>
  <c r="H110" i="81"/>
  <c r="I27" i="53" s="1"/>
  <c r="I80" s="1"/>
  <c r="I200"/>
  <c r="I132"/>
  <c r="I226"/>
  <c r="E95" i="72"/>
  <c r="G139" s="1"/>
  <c r="G152"/>
  <c r="E96"/>
  <c r="E134" i="55"/>
  <c r="G192" s="1"/>
  <c r="G247"/>
  <c r="H143" i="53"/>
  <c r="H211"/>
  <c r="D12" i="84"/>
  <c r="D42"/>
  <c r="H18" i="53"/>
  <c r="H71" s="1"/>
  <c r="H101" i="81"/>
  <c r="I18" i="53" s="1"/>
  <c r="I71" s="1"/>
  <c r="G253" i="55"/>
  <c r="E140"/>
  <c r="G198" s="1"/>
  <c r="H146" i="53"/>
  <c r="H214"/>
  <c r="H78" i="83"/>
  <c r="H17" i="84" s="1"/>
  <c r="H48" s="1"/>
  <c r="G17"/>
  <c r="G48" s="1"/>
  <c r="E131" i="55"/>
  <c r="G189" s="1"/>
  <c r="G244"/>
  <c r="H68"/>
  <c r="G115" i="53"/>
  <c r="J165" l="1"/>
  <c r="C150" i="29"/>
  <c r="C24" i="68"/>
  <c r="C165" i="29"/>
  <c r="C180"/>
  <c r="C135"/>
  <c r="E176" i="72"/>
  <c r="C29" i="21" s="1"/>
  <c r="C36" s="1"/>
  <c r="D150" i="29" s="1"/>
  <c r="D175"/>
  <c r="D130"/>
  <c r="D145"/>
  <c r="D160"/>
  <c r="D36"/>
  <c r="F261" i="53"/>
  <c r="F263" s="1"/>
  <c r="G71" i="72"/>
  <c r="I155"/>
  <c r="G70"/>
  <c r="I142" s="1"/>
  <c r="J155"/>
  <c r="H70"/>
  <c r="H71"/>
  <c r="G123" i="55"/>
  <c r="I181" s="1"/>
  <c r="I236"/>
  <c r="H123"/>
  <c r="J236"/>
  <c r="H184" i="53"/>
  <c r="J164"/>
  <c r="J265" i="55"/>
  <c r="H152"/>
  <c r="G152"/>
  <c r="I211" s="1"/>
  <c r="I265"/>
  <c r="J171" i="53"/>
  <c r="J167"/>
  <c r="J172"/>
  <c r="J174"/>
  <c r="J173"/>
  <c r="D177" i="84"/>
  <c r="B23" i="21" s="1"/>
  <c r="J168" i="53"/>
  <c r="J166"/>
  <c r="J169"/>
  <c r="G144" i="55"/>
  <c r="I203" s="1"/>
  <c r="I257"/>
  <c r="G23" i="84"/>
  <c r="G54" s="1"/>
  <c r="H84" i="83"/>
  <c r="H23" i="84" s="1"/>
  <c r="H54" s="1"/>
  <c r="H61" i="83"/>
  <c r="H50" i="55" s="1"/>
  <c r="H107" s="1"/>
  <c r="G50"/>
  <c r="G107" s="1"/>
  <c r="F155"/>
  <c r="H214" s="1"/>
  <c r="H268"/>
  <c r="J235" i="53"/>
  <c r="G26" i="84"/>
  <c r="G57" s="1"/>
  <c r="H87" i="83"/>
  <c r="H26" i="84" s="1"/>
  <c r="H57" s="1"/>
  <c r="G47" i="55"/>
  <c r="G104" s="1"/>
  <c r="H58" i="83"/>
  <c r="H47" i="55" s="1"/>
  <c r="H104" s="1"/>
  <c r="F160"/>
  <c r="H219" s="1"/>
  <c r="H273"/>
  <c r="H59" i="83"/>
  <c r="H48" i="55" s="1"/>
  <c r="H105" s="1"/>
  <c r="G48"/>
  <c r="G105" s="1"/>
  <c r="I231" i="53"/>
  <c r="I235"/>
  <c r="J258" i="55"/>
  <c r="H145"/>
  <c r="I232" i="53"/>
  <c r="G49" i="55"/>
  <c r="G106" s="1"/>
  <c r="H60" i="83"/>
  <c r="H49" i="55" s="1"/>
  <c r="H106" s="1"/>
  <c r="H266"/>
  <c r="F153"/>
  <c r="H212" s="1"/>
  <c r="G45"/>
  <c r="G102" s="1"/>
  <c r="H56" i="83"/>
  <c r="H45" i="55" s="1"/>
  <c r="H102" s="1"/>
  <c r="J238" i="53"/>
  <c r="I237"/>
  <c r="J233"/>
  <c r="G46" i="55"/>
  <c r="G103" s="1"/>
  <c r="H57" i="83"/>
  <c r="H46" i="55" s="1"/>
  <c r="H103" s="1"/>
  <c r="H88" i="83"/>
  <c r="H27" i="84" s="1"/>
  <c r="H58" s="1"/>
  <c r="G27"/>
  <c r="G58" s="1"/>
  <c r="I236" i="53"/>
  <c r="H269" i="55"/>
  <c r="F156"/>
  <c r="H215" s="1"/>
  <c r="I234" i="53"/>
  <c r="H150" i="55"/>
  <c r="J263"/>
  <c r="G51"/>
  <c r="G108" s="1"/>
  <c r="H62" i="83"/>
  <c r="H51" i="55" s="1"/>
  <c r="H108" s="1"/>
  <c r="H144"/>
  <c r="J203" s="1"/>
  <c r="J257"/>
  <c r="G24" i="84"/>
  <c r="G55" s="1"/>
  <c r="H85" i="83"/>
  <c r="H24" i="84" s="1"/>
  <c r="H55" s="1"/>
  <c r="J234" i="53"/>
  <c r="I263" i="55"/>
  <c r="G150"/>
  <c r="I209" s="1"/>
  <c r="H89" i="83"/>
  <c r="H28" i="84" s="1"/>
  <c r="H59" s="1"/>
  <c r="G28"/>
  <c r="G59" s="1"/>
  <c r="F157" i="55"/>
  <c r="H216" s="1"/>
  <c r="H270"/>
  <c r="J231" i="53"/>
  <c r="H272" i="55"/>
  <c r="F159"/>
  <c r="H218" s="1"/>
  <c r="H90" i="83"/>
  <c r="H29" i="84" s="1"/>
  <c r="H60" s="1"/>
  <c r="G29"/>
  <c r="G60" s="1"/>
  <c r="H86" i="83"/>
  <c r="H25" i="84" s="1"/>
  <c r="H56" s="1"/>
  <c r="G25"/>
  <c r="G56" s="1"/>
  <c r="J236" i="53"/>
  <c r="I258" i="55"/>
  <c r="G145"/>
  <c r="I204" s="1"/>
  <c r="J232" i="53"/>
  <c r="H271" i="55"/>
  <c r="F158"/>
  <c r="H217" s="1"/>
  <c r="H55" i="83"/>
  <c r="H44" i="55" s="1"/>
  <c r="H101" s="1"/>
  <c r="G44"/>
  <c r="G101" s="1"/>
  <c r="H267"/>
  <c r="F154"/>
  <c r="H213" s="1"/>
  <c r="H83" i="83"/>
  <c r="H22" i="84" s="1"/>
  <c r="H53" s="1"/>
  <c r="G22"/>
  <c r="G53" s="1"/>
  <c r="I238" i="53"/>
  <c r="J237"/>
  <c r="I233"/>
  <c r="J185" i="55"/>
  <c r="H118" i="53"/>
  <c r="I187" s="1"/>
  <c r="P58" i="22"/>
  <c r="Q55" s="1"/>
  <c r="Q56" s="1"/>
  <c r="Q58" s="1"/>
  <c r="G35" i="61"/>
  <c r="F18"/>
  <c r="G9" s="1"/>
  <c r="F53"/>
  <c r="H48"/>
  <c r="H15"/>
  <c r="G261" i="53" s="1"/>
  <c r="G191"/>
  <c r="D162" i="72"/>
  <c r="D164" s="1"/>
  <c r="F17" i="61"/>
  <c r="F50"/>
  <c r="F16"/>
  <c r="C8" i="21"/>
  <c r="D126" i="29" s="1"/>
  <c r="F51" i="61"/>
  <c r="E38"/>
  <c r="E42" s="1"/>
  <c r="B9" i="69" s="1"/>
  <c r="C31" i="68" s="1"/>
  <c r="F7" i="61"/>
  <c r="F12" s="1"/>
  <c r="F37"/>
  <c r="D12" i="21"/>
  <c r="J186" i="55"/>
  <c r="G144" i="72"/>
  <c r="J226" i="55"/>
  <c r="H116" i="53"/>
  <c r="I248" s="1"/>
  <c r="N43" i="22"/>
  <c r="H247" i="53"/>
  <c r="H183"/>
  <c r="F291" i="55"/>
  <c r="F292"/>
  <c r="G23" i="72"/>
  <c r="G47" s="1"/>
  <c r="H77" i="81"/>
  <c r="H23" i="72" s="1"/>
  <c r="H47" s="1"/>
  <c r="F129" i="55"/>
  <c r="H187" s="1"/>
  <c r="H242"/>
  <c r="F134"/>
  <c r="H192" s="1"/>
  <c r="H247"/>
  <c r="J239"/>
  <c r="H126"/>
  <c r="J208"/>
  <c r="H40" i="61"/>
  <c r="E13" i="21"/>
  <c r="J218" i="53"/>
  <c r="J150"/>
  <c r="G30" i="72"/>
  <c r="G54" s="1"/>
  <c r="H84" i="81"/>
  <c r="H30" i="72" s="1"/>
  <c r="H54" s="1"/>
  <c r="G24"/>
  <c r="G48" s="1"/>
  <c r="H78" i="81"/>
  <c r="H24" i="72" s="1"/>
  <c r="H48" s="1"/>
  <c r="B15" i="21"/>
  <c r="C171" i="29"/>
  <c r="C156"/>
  <c r="C141"/>
  <c r="C126"/>
  <c r="C32"/>
  <c r="J214" i="53"/>
  <c r="J146"/>
  <c r="H249" i="55"/>
  <c r="F136"/>
  <c r="H194" s="1"/>
  <c r="G126"/>
  <c r="I184" s="1"/>
  <c r="I239"/>
  <c r="I210" i="53"/>
  <c r="I142"/>
  <c r="H139" i="55"/>
  <c r="J252"/>
  <c r="G148"/>
  <c r="I207" s="1"/>
  <c r="I261"/>
  <c r="I218" i="53"/>
  <c r="I150"/>
  <c r="E12" i="72"/>
  <c r="E35"/>
  <c r="G156"/>
  <c r="E21" i="61"/>
  <c r="C33" i="29"/>
  <c r="C172"/>
  <c r="C157"/>
  <c r="C142"/>
  <c r="C127"/>
  <c r="J207" i="53"/>
  <c r="J139"/>
  <c r="I116"/>
  <c r="I211"/>
  <c r="I143"/>
  <c r="F168" i="72"/>
  <c r="F169"/>
  <c r="E65" i="55"/>
  <c r="G200" s="1"/>
  <c r="E10"/>
  <c r="G124"/>
  <c r="I182" s="1"/>
  <c r="I237"/>
  <c r="J213" i="53"/>
  <c r="J145"/>
  <c r="H140" i="72"/>
  <c r="F135" i="55"/>
  <c r="H193" s="1"/>
  <c r="H248"/>
  <c r="J212" i="53"/>
  <c r="J144"/>
  <c r="H58" i="81"/>
  <c r="H27" i="55" s="1"/>
  <c r="H84" s="1"/>
  <c r="G27"/>
  <c r="G84" s="1"/>
  <c r="J209" i="53"/>
  <c r="J141"/>
  <c r="F133" i="55"/>
  <c r="H191" s="1"/>
  <c r="H246"/>
  <c r="H96"/>
  <c r="I153" i="72"/>
  <c r="G63"/>
  <c r="G64"/>
  <c r="I207" i="53"/>
  <c r="I139"/>
  <c r="I216"/>
  <c r="I148"/>
  <c r="E12" i="84"/>
  <c r="E42"/>
  <c r="H49" i="22"/>
  <c r="H124" i="55"/>
  <c r="J237"/>
  <c r="J275"/>
  <c r="H165"/>
  <c r="G28"/>
  <c r="G85" s="1"/>
  <c r="H59" i="81"/>
  <c r="H28" i="55" s="1"/>
  <c r="H85" s="1"/>
  <c r="F33"/>
  <c r="H119" i="53"/>
  <c r="G22" i="55"/>
  <c r="G79" s="1"/>
  <c r="H53" i="81"/>
  <c r="H22" i="55" s="1"/>
  <c r="H79" s="1"/>
  <c r="G31"/>
  <c r="G88" s="1"/>
  <c r="H62" i="81"/>
  <c r="H31" i="55" s="1"/>
  <c r="H88" s="1"/>
  <c r="G31" i="72"/>
  <c r="G55" s="1"/>
  <c r="H85" i="81"/>
  <c r="H31" i="72" s="1"/>
  <c r="H55" s="1"/>
  <c r="H188" i="53"/>
  <c r="H252"/>
  <c r="F130" i="55"/>
  <c r="H188" s="1"/>
  <c r="H243"/>
  <c r="I214" i="53"/>
  <c r="I146"/>
  <c r="F146" i="72"/>
  <c r="F148" s="1"/>
  <c r="F170"/>
  <c r="H125" i="55"/>
  <c r="J238"/>
  <c r="F46" i="22"/>
  <c r="G27" i="72"/>
  <c r="G51" s="1"/>
  <c r="H81" i="81"/>
  <c r="H27" i="72" s="1"/>
  <c r="H51" s="1"/>
  <c r="H54" i="81"/>
  <c r="H23" i="55" s="1"/>
  <c r="H80" s="1"/>
  <c r="G23"/>
  <c r="G80" s="1"/>
  <c r="H254" i="53"/>
  <c r="P64" i="22"/>
  <c r="Q61" s="1"/>
  <c r="I239" i="53"/>
  <c r="G165" i="55"/>
  <c r="I224" s="1"/>
  <c r="I275"/>
  <c r="C9" i="21"/>
  <c r="F38" i="61"/>
  <c r="H154" i="84"/>
  <c r="H159" s="1"/>
  <c r="H168"/>
  <c r="H169"/>
  <c r="H78" i="72"/>
  <c r="J154"/>
  <c r="H79"/>
  <c r="H121" i="55"/>
  <c r="J234"/>
  <c r="H178"/>
  <c r="G294"/>
  <c r="F137"/>
  <c r="H195" s="1"/>
  <c r="H250"/>
  <c r="I114" i="53"/>
  <c r="J140"/>
  <c r="J208"/>
  <c r="H126" i="84"/>
  <c r="H143" s="1"/>
  <c r="J164"/>
  <c r="H125"/>
  <c r="H142" s="1"/>
  <c r="J167"/>
  <c r="H124"/>
  <c r="H141" s="1"/>
  <c r="J163"/>
  <c r="H82" i="81"/>
  <c r="H28" i="72" s="1"/>
  <c r="H52" s="1"/>
  <c r="G28"/>
  <c r="G52" s="1"/>
  <c r="H141"/>
  <c r="G30" i="84"/>
  <c r="G61" s="1"/>
  <c r="H91" i="83"/>
  <c r="H30" i="84" s="1"/>
  <c r="G139" i="55"/>
  <c r="I197" s="1"/>
  <c r="I252"/>
  <c r="G172" i="72"/>
  <c r="G187" i="55"/>
  <c r="H122"/>
  <c r="J235"/>
  <c r="G260" i="53"/>
  <c r="I115"/>
  <c r="F165" i="84"/>
  <c r="F166"/>
  <c r="J216" i="53"/>
  <c r="J148"/>
  <c r="G25" i="72"/>
  <c r="G49" s="1"/>
  <c r="H79" i="81"/>
  <c r="H25" i="72" s="1"/>
  <c r="H49" s="1"/>
  <c r="G26"/>
  <c r="G50" s="1"/>
  <c r="H80" i="81"/>
  <c r="H26" i="72" s="1"/>
  <c r="H50" s="1"/>
  <c r="J227" i="55"/>
  <c r="G29"/>
  <c r="G86" s="1"/>
  <c r="H60" i="81"/>
  <c r="H29" i="55" s="1"/>
  <c r="H86" s="1"/>
  <c r="I118" i="53"/>
  <c r="J217"/>
  <c r="J149"/>
  <c r="F109" i="55"/>
  <c r="F61"/>
  <c r="J210" i="53"/>
  <c r="J142"/>
  <c r="G120" i="55"/>
  <c r="I233"/>
  <c r="F187"/>
  <c r="F229" s="1"/>
  <c r="F294"/>
  <c r="F293"/>
  <c r="M45" i="22"/>
  <c r="G147" i="55"/>
  <c r="I206" s="1"/>
  <c r="I260"/>
  <c r="H152" i="72"/>
  <c r="F95"/>
  <c r="H139" s="1"/>
  <c r="F96"/>
  <c r="H187" i="53"/>
  <c r="H251"/>
  <c r="I145"/>
  <c r="I213"/>
  <c r="J239"/>
  <c r="H255"/>
  <c r="I144"/>
  <c r="I212"/>
  <c r="I149"/>
  <c r="I217"/>
  <c r="G25" i="55"/>
  <c r="G82" s="1"/>
  <c r="H56" i="81"/>
  <c r="H25" i="55" s="1"/>
  <c r="H82" s="1"/>
  <c r="G293"/>
  <c r="I209" i="53"/>
  <c r="I141"/>
  <c r="H120" i="55"/>
  <c r="J233"/>
  <c r="F131"/>
  <c r="H189" s="1"/>
  <c r="H244"/>
  <c r="F140"/>
  <c r="H198" s="1"/>
  <c r="H253"/>
  <c r="G21"/>
  <c r="G78" s="1"/>
  <c r="H52" i="81"/>
  <c r="H21" i="55" s="1"/>
  <c r="H78" s="1"/>
  <c r="H182" i="53"/>
  <c r="H246"/>
  <c r="J211"/>
  <c r="J143"/>
  <c r="G22" i="72"/>
  <c r="H76" i="81"/>
  <c r="H22" i="72" s="1"/>
  <c r="H45" i="22"/>
  <c r="H115" i="53"/>
  <c r="G125" i="55"/>
  <c r="I183" s="1"/>
  <c r="I238"/>
  <c r="C22" i="21"/>
  <c r="K12" s="1"/>
  <c r="E275" i="53"/>
  <c r="E277" s="1"/>
  <c r="G20" i="55"/>
  <c r="H51" i="81"/>
  <c r="H20" i="55" s="1"/>
  <c r="H77" s="1"/>
  <c r="F132"/>
  <c r="H190" s="1"/>
  <c r="H245"/>
  <c r="I119" i="53"/>
  <c r="G26" i="55"/>
  <c r="G83" s="1"/>
  <c r="H57" i="81"/>
  <c r="H26" i="55" s="1"/>
  <c r="H83" s="1"/>
  <c r="O51" i="22"/>
  <c r="F138" i="55"/>
  <c r="H196" s="1"/>
  <c r="H251"/>
  <c r="G78" i="72"/>
  <c r="I154"/>
  <c r="G79"/>
  <c r="G121" i="55"/>
  <c r="I179" s="1"/>
  <c r="I234"/>
  <c r="E161" i="29"/>
  <c r="E146"/>
  <c r="E131"/>
  <c r="E37"/>
  <c r="E176"/>
  <c r="O52" i="22"/>
  <c r="H63" i="83"/>
  <c r="H52" i="55" s="1"/>
  <c r="H109" s="1"/>
  <c r="G52"/>
  <c r="F32" i="72"/>
  <c r="I140" i="53"/>
  <c r="I208"/>
  <c r="G125" i="84"/>
  <c r="G142" s="1"/>
  <c r="I155" s="1"/>
  <c r="G124"/>
  <c r="G141" s="1"/>
  <c r="I164"/>
  <c r="G126"/>
  <c r="G143" s="1"/>
  <c r="I156" s="1"/>
  <c r="I163"/>
  <c r="I167"/>
  <c r="F61"/>
  <c r="F39"/>
  <c r="G24" i="55"/>
  <c r="G81" s="1"/>
  <c r="H55" i="81"/>
  <c r="H24" i="55" s="1"/>
  <c r="H81" s="1"/>
  <c r="G171" i="72"/>
  <c r="I235" i="55"/>
  <c r="G122"/>
  <c r="I180" s="1"/>
  <c r="J153" i="72"/>
  <c r="H64"/>
  <c r="H63"/>
  <c r="G29"/>
  <c r="G53" s="1"/>
  <c r="H83" i="81"/>
  <c r="H29" i="72" s="1"/>
  <c r="H53" s="1"/>
  <c r="B18" i="21"/>
  <c r="J8" s="1"/>
  <c r="D298" i="55"/>
  <c r="D301" s="1"/>
  <c r="H114" i="53"/>
  <c r="E161" i="72"/>
  <c r="G39" i="84" l="1"/>
  <c r="G12" s="1"/>
  <c r="J179" i="55"/>
  <c r="D24" i="68"/>
  <c r="F297" i="55"/>
  <c r="D28" i="21" s="1"/>
  <c r="D135" i="29"/>
  <c r="F176" i="72"/>
  <c r="D29" i="21" s="1"/>
  <c r="D36" s="1"/>
  <c r="E165" i="29" s="1"/>
  <c r="D165"/>
  <c r="D180"/>
  <c r="E160"/>
  <c r="D186" i="84"/>
  <c r="D188" s="1"/>
  <c r="J182" i="55"/>
  <c r="J181"/>
  <c r="J142" i="72"/>
  <c r="J211" i="55"/>
  <c r="E285"/>
  <c r="G229"/>
  <c r="H37" i="61" s="1"/>
  <c r="E12" i="21"/>
  <c r="J267" i="55"/>
  <c r="H154"/>
  <c r="J204"/>
  <c r="I271"/>
  <c r="G158"/>
  <c r="I217" s="1"/>
  <c r="G153"/>
  <c r="I212" s="1"/>
  <c r="I266"/>
  <c r="G157"/>
  <c r="I216" s="1"/>
  <c r="I270"/>
  <c r="H156"/>
  <c r="J269"/>
  <c r="G159"/>
  <c r="I218" s="1"/>
  <c r="I272"/>
  <c r="H160"/>
  <c r="J273"/>
  <c r="H155"/>
  <c r="J268"/>
  <c r="J271"/>
  <c r="H158"/>
  <c r="J217" s="1"/>
  <c r="G160"/>
  <c r="I219" s="1"/>
  <c r="I273"/>
  <c r="G155"/>
  <c r="I214" s="1"/>
  <c r="I268"/>
  <c r="I267"/>
  <c r="G154"/>
  <c r="I213" s="1"/>
  <c r="H153"/>
  <c r="J266"/>
  <c r="J209"/>
  <c r="J270"/>
  <c r="H157"/>
  <c r="I269"/>
  <c r="G156"/>
  <c r="I215" s="1"/>
  <c r="H159"/>
  <c r="J272"/>
  <c r="E36" i="29"/>
  <c r="I251" i="53"/>
  <c r="F42" i="61"/>
  <c r="C9" i="69" s="1"/>
  <c r="D31" i="68" s="1"/>
  <c r="G8" i="61"/>
  <c r="F161" i="72" s="1"/>
  <c r="H191" i="53"/>
  <c r="D141" i="29"/>
  <c r="D22" i="21"/>
  <c r="L12" s="1"/>
  <c r="I184" i="53"/>
  <c r="H35" i="61"/>
  <c r="I15"/>
  <c r="H261" i="53" s="1"/>
  <c r="I48" i="61"/>
  <c r="E130" i="29"/>
  <c r="C15" i="21"/>
  <c r="D6" i="68" s="1"/>
  <c r="D171" i="29"/>
  <c r="D156"/>
  <c r="G53" i="61"/>
  <c r="G18"/>
  <c r="H9" s="1"/>
  <c r="E145" i="29"/>
  <c r="D32"/>
  <c r="E175"/>
  <c r="E162" i="72"/>
  <c r="E164" s="1"/>
  <c r="D177"/>
  <c r="D179" s="1"/>
  <c r="B19" i="21"/>
  <c r="G17" i="61"/>
  <c r="F162" i="72" s="1"/>
  <c r="F21" i="61"/>
  <c r="G51"/>
  <c r="G16"/>
  <c r="G50"/>
  <c r="C39" i="29"/>
  <c r="C178"/>
  <c r="J180" i="55"/>
  <c r="I6" i="61"/>
  <c r="H260" i="53" s="1"/>
  <c r="H61" i="55"/>
  <c r="G263" i="53"/>
  <c r="G275" s="1"/>
  <c r="G277" s="1"/>
  <c r="F275"/>
  <c r="F277" s="1"/>
  <c r="I254"/>
  <c r="J155" i="84"/>
  <c r="E43" i="61"/>
  <c r="E45" s="1"/>
  <c r="B10" i="69"/>
  <c r="C32" i="68" s="1"/>
  <c r="H133" i="55"/>
  <c r="J246"/>
  <c r="G109"/>
  <c r="G61"/>
  <c r="G135"/>
  <c r="I193" s="1"/>
  <c r="I248"/>
  <c r="I183" i="53"/>
  <c r="I247"/>
  <c r="I255"/>
  <c r="F161" i="55"/>
  <c r="H220" s="1"/>
  <c r="H274"/>
  <c r="J182" i="53"/>
  <c r="J246"/>
  <c r="J141" i="72"/>
  <c r="J183" i="55"/>
  <c r="G140"/>
  <c r="I198" s="1"/>
  <c r="I253"/>
  <c r="J255" i="53"/>
  <c r="J197" i="55"/>
  <c r="J152" i="72"/>
  <c r="H95"/>
  <c r="J171" s="1"/>
  <c r="H96"/>
  <c r="N44" i="22"/>
  <c r="G133" i="55"/>
  <c r="I191" s="1"/>
  <c r="I246"/>
  <c r="E286"/>
  <c r="G7" i="61"/>
  <c r="H161" i="55"/>
  <c r="J274"/>
  <c r="H129"/>
  <c r="J242"/>
  <c r="J243"/>
  <c r="H130"/>
  <c r="H33"/>
  <c r="J247"/>
  <c r="H134"/>
  <c r="I178"/>
  <c r="J251"/>
  <c r="H138"/>
  <c r="H61" i="84"/>
  <c r="H39"/>
  <c r="H171" i="72"/>
  <c r="J154" i="84"/>
  <c r="J168"/>
  <c r="J169"/>
  <c r="J156"/>
  <c r="H294" i="55"/>
  <c r="G132"/>
  <c r="I190" s="1"/>
  <c r="I245"/>
  <c r="J244"/>
  <c r="H131"/>
  <c r="F65"/>
  <c r="H200" s="1"/>
  <c r="F10"/>
  <c r="J224"/>
  <c r="G165" i="84"/>
  <c r="G166"/>
  <c r="H148" i="55"/>
  <c r="J207" s="1"/>
  <c r="J261"/>
  <c r="H144" i="72"/>
  <c r="Q57" i="22"/>
  <c r="G146" i="72"/>
  <c r="G148" s="1"/>
  <c r="G170"/>
  <c r="C133" i="29"/>
  <c r="C6" i="68"/>
  <c r="I152" i="72"/>
  <c r="G95"/>
  <c r="I139" s="1"/>
  <c r="G96"/>
  <c r="I154" i="84"/>
  <c r="I159" s="1"/>
  <c r="I169"/>
  <c r="I168"/>
  <c r="G46" i="72"/>
  <c r="G32"/>
  <c r="J187" i="53"/>
  <c r="J251"/>
  <c r="E55" i="61"/>
  <c r="J140" i="72"/>
  <c r="J144"/>
  <c r="F12" i="84"/>
  <c r="F42"/>
  <c r="F35" i="72"/>
  <c r="H156"/>
  <c r="F12"/>
  <c r="J188" i="53"/>
  <c r="J252"/>
  <c r="G77" i="55"/>
  <c r="G33"/>
  <c r="I45" i="22"/>
  <c r="I243" i="55"/>
  <c r="G130"/>
  <c r="I188" s="1"/>
  <c r="I247"/>
  <c r="G134"/>
  <c r="I192" s="1"/>
  <c r="G138"/>
  <c r="I196" s="1"/>
  <c r="I251"/>
  <c r="H293"/>
  <c r="D157" i="29"/>
  <c r="D142"/>
  <c r="D127"/>
  <c r="D133" s="1"/>
  <c r="D33"/>
  <c r="D172"/>
  <c r="H132" i="55"/>
  <c r="J245"/>
  <c r="G43" i="22"/>
  <c r="D9" i="21"/>
  <c r="G38" i="61"/>
  <c r="G131" i="55"/>
  <c r="I189" s="1"/>
  <c r="I244"/>
  <c r="H137"/>
  <c r="J250"/>
  <c r="H52" i="22"/>
  <c r="I140" i="72"/>
  <c r="G136" i="55"/>
  <c r="I194" s="1"/>
  <c r="I249"/>
  <c r="G291"/>
  <c r="G292"/>
  <c r="J248" i="53"/>
  <c r="J184"/>
  <c r="G168" i="72"/>
  <c r="G169"/>
  <c r="C148" i="29"/>
  <c r="J184" i="55"/>
  <c r="E177" i="84"/>
  <c r="I182" i="53"/>
  <c r="I246"/>
  <c r="G42" i="84"/>
  <c r="P49" i="22"/>
  <c r="I141" i="72"/>
  <c r="H135" i="55"/>
  <c r="J248"/>
  <c r="H46" i="72"/>
  <c r="H32"/>
  <c r="J254" i="53"/>
  <c r="J178" i="55"/>
  <c r="D8" i="21"/>
  <c r="G37" i="61"/>
  <c r="J247" i="53"/>
  <c r="J183"/>
  <c r="H172" i="72"/>
  <c r="F13" i="21"/>
  <c r="I40" i="61"/>
  <c r="Q62" i="22"/>
  <c r="Q63" s="1"/>
  <c r="H140" i="55"/>
  <c r="J253"/>
  <c r="I188" i="53"/>
  <c r="I252"/>
  <c r="G137" i="55"/>
  <c r="I195" s="1"/>
  <c r="I250"/>
  <c r="J206"/>
  <c r="H136"/>
  <c r="J249"/>
  <c r="C163" i="29"/>
  <c r="F176"/>
  <c r="F161"/>
  <c r="F146"/>
  <c r="F131"/>
  <c r="F37"/>
  <c r="J194" i="55" l="1"/>
  <c r="J212"/>
  <c r="G176" i="72"/>
  <c r="E29" i="21" s="1"/>
  <c r="J193" i="55"/>
  <c r="E24" i="68"/>
  <c r="G297" i="55"/>
  <c r="E28" i="21" s="1"/>
  <c r="E36" s="1"/>
  <c r="E135" i="29"/>
  <c r="E150"/>
  <c r="E180"/>
  <c r="F145"/>
  <c r="H229" i="55"/>
  <c r="F8" i="21" s="1"/>
  <c r="B25"/>
  <c r="C166" i="29" s="1"/>
  <c r="C167" s="1"/>
  <c r="C168" s="1"/>
  <c r="J9" i="21"/>
  <c r="E288" i="55"/>
  <c r="C18" i="21" s="1"/>
  <c r="K8" s="1"/>
  <c r="F160" i="29"/>
  <c r="F130"/>
  <c r="F36"/>
  <c r="F175"/>
  <c r="D178"/>
  <c r="D148"/>
  <c r="J159" i="84"/>
  <c r="I144" i="72"/>
  <c r="E8" i="21"/>
  <c r="F126" i="29" s="1"/>
  <c r="J214" i="55"/>
  <c r="J198"/>
  <c r="N45" i="22"/>
  <c r="J216" i="55"/>
  <c r="J219"/>
  <c r="J215"/>
  <c r="J213"/>
  <c r="I35" i="61"/>
  <c r="J218" i="55"/>
  <c r="J6" i="61"/>
  <c r="I260" i="53" s="1"/>
  <c r="Q64" i="22"/>
  <c r="D163" i="29"/>
  <c r="H53" i="61"/>
  <c r="H18"/>
  <c r="I9" s="1"/>
  <c r="K15"/>
  <c r="J261" i="53" s="1"/>
  <c r="K48" i="61"/>
  <c r="D39" i="29"/>
  <c r="J191" i="53"/>
  <c r="J48" i="61"/>
  <c r="J15"/>
  <c r="I261" i="53" s="1"/>
  <c r="I191"/>
  <c r="G21" i="61"/>
  <c r="H17"/>
  <c r="H51"/>
  <c r="H7"/>
  <c r="G285" i="55" s="1"/>
  <c r="H50" i="61"/>
  <c r="H16"/>
  <c r="F286" i="55"/>
  <c r="E22" i="21"/>
  <c r="M12" s="1"/>
  <c r="N46" i="22"/>
  <c r="O43" s="1"/>
  <c r="H8" i="61"/>
  <c r="G161" i="72" s="1"/>
  <c r="G42" i="61"/>
  <c r="D9" i="69" s="1"/>
  <c r="E31" i="68" s="1"/>
  <c r="F12" i="21"/>
  <c r="J196" i="55"/>
  <c r="J188"/>
  <c r="E56" i="61"/>
  <c r="B25" i="69"/>
  <c r="C12" i="68" s="1"/>
  <c r="F43" i="61"/>
  <c r="F45" s="1"/>
  <c r="C10" i="69"/>
  <c r="D32" i="68" s="1"/>
  <c r="I37" i="61"/>
  <c r="G46" i="22"/>
  <c r="H146" i="72"/>
  <c r="H148" s="1"/>
  <c r="H170"/>
  <c r="D15" i="21"/>
  <c r="E171" i="29"/>
  <c r="E156"/>
  <c r="E141"/>
  <c r="E126"/>
  <c r="E32"/>
  <c r="J293" i="55"/>
  <c r="J156" i="72"/>
  <c r="H12"/>
  <c r="H35"/>
  <c r="I172"/>
  <c r="P50" i="22"/>
  <c r="P52" s="1"/>
  <c r="J195" i="55"/>
  <c r="G65"/>
  <c r="I200" s="1"/>
  <c r="G10"/>
  <c r="I156" i="72"/>
  <c r="G12"/>
  <c r="G35"/>
  <c r="J40" i="61"/>
  <c r="G13" i="21"/>
  <c r="J189" i="55"/>
  <c r="H12" i="84"/>
  <c r="H42"/>
  <c r="J192" i="55"/>
  <c r="H263" i="53"/>
  <c r="J139" i="72"/>
  <c r="J191" i="55"/>
  <c r="G37" i="29"/>
  <c r="G161"/>
  <c r="G146"/>
  <c r="G131"/>
  <c r="G176"/>
  <c r="I171" i="72"/>
  <c r="E172" i="29"/>
  <c r="E157"/>
  <c r="E142"/>
  <c r="E127"/>
  <c r="E33"/>
  <c r="H165" i="84"/>
  <c r="H166"/>
  <c r="C19" i="21"/>
  <c r="K9" s="1"/>
  <c r="E177" i="72"/>
  <c r="E179" s="1"/>
  <c r="G161" i="55"/>
  <c r="I220" s="1"/>
  <c r="I274"/>
  <c r="J294"/>
  <c r="C23" i="21"/>
  <c r="E186" i="84"/>
  <c r="E188" s="1"/>
  <c r="I49" i="22"/>
  <c r="J190" i="55"/>
  <c r="G129"/>
  <c r="J187" s="1"/>
  <c r="I242"/>
  <c r="H168" i="72"/>
  <c r="H169"/>
  <c r="I165" i="84"/>
  <c r="I166"/>
  <c r="E9" i="21"/>
  <c r="H38" i="61"/>
  <c r="H42" s="1"/>
  <c r="E9" i="69" s="1"/>
  <c r="H291" i="55"/>
  <c r="H292"/>
  <c r="H65"/>
  <c r="J200" s="1"/>
  <c r="H10"/>
  <c r="F285"/>
  <c r="G12" i="61"/>
  <c r="J172" i="72"/>
  <c r="F164"/>
  <c r="H176" l="1"/>
  <c r="F29" i="21" s="1"/>
  <c r="F135" i="29"/>
  <c r="F165"/>
  <c r="F150"/>
  <c r="H297" i="55"/>
  <c r="F28" i="21" s="1"/>
  <c r="F36" s="1"/>
  <c r="G24" i="68" s="1"/>
  <c r="B38" i="21"/>
  <c r="B40" s="1"/>
  <c r="C109" i="29" s="1"/>
  <c r="F180"/>
  <c r="F24" i="68"/>
  <c r="C23"/>
  <c r="G160" i="29"/>
  <c r="C181"/>
  <c r="C182" s="1"/>
  <c r="C183" s="1"/>
  <c r="C151"/>
  <c r="C152" s="1"/>
  <c r="C153" s="1"/>
  <c r="C136"/>
  <c r="C137" s="1"/>
  <c r="C138" s="1"/>
  <c r="C41"/>
  <c r="C43" s="1"/>
  <c r="E298" i="55"/>
  <c r="E301" s="1"/>
  <c r="F177" i="84"/>
  <c r="D23" i="21" s="1"/>
  <c r="H21" i="61"/>
  <c r="F141" i="29"/>
  <c r="F32"/>
  <c r="F156"/>
  <c r="F171"/>
  <c r="G175"/>
  <c r="J35" i="61"/>
  <c r="I18"/>
  <c r="J9" s="1"/>
  <c r="I53"/>
  <c r="K35"/>
  <c r="J18"/>
  <c r="K9" s="1"/>
  <c r="J53"/>
  <c r="G12" i="21"/>
  <c r="H12"/>
  <c r="F31" i="68"/>
  <c r="I17" i="61"/>
  <c r="F288" i="55"/>
  <c r="F298" s="1"/>
  <c r="F301" s="1"/>
  <c r="I51" i="61"/>
  <c r="H12"/>
  <c r="I50"/>
  <c r="I16"/>
  <c r="G36" i="29"/>
  <c r="G130"/>
  <c r="I263" i="53"/>
  <c r="G145" i="29"/>
  <c r="K6" i="61"/>
  <c r="J260" i="53" s="1"/>
  <c r="J263" s="1"/>
  <c r="E163" i="29"/>
  <c r="E39"/>
  <c r="E178"/>
  <c r="G43" i="61"/>
  <c r="G45" s="1"/>
  <c r="D10" i="69"/>
  <c r="E32" i="68" s="1"/>
  <c r="E57" i="61"/>
  <c r="B24" i="69" s="1"/>
  <c r="H176" i="29"/>
  <c r="H161"/>
  <c r="H146"/>
  <c r="H131"/>
  <c r="H37"/>
  <c r="H13" i="21"/>
  <c r="K40" i="61"/>
  <c r="P51" i="22"/>
  <c r="J146" i="72"/>
  <c r="J148" s="1"/>
  <c r="J170"/>
  <c r="F55" i="61"/>
  <c r="D19" i="21"/>
  <c r="L9" s="1"/>
  <c r="F177" i="72"/>
  <c r="F179" s="1"/>
  <c r="F157" i="29"/>
  <c r="F142"/>
  <c r="F127"/>
  <c r="F133" s="1"/>
  <c r="F33"/>
  <c r="F172"/>
  <c r="I52" i="22"/>
  <c r="F22" i="21"/>
  <c r="N12" s="1"/>
  <c r="H275" i="53"/>
  <c r="H277" s="1"/>
  <c r="J165" i="84"/>
  <c r="J166"/>
  <c r="I146" i="72"/>
  <c r="I148" s="1"/>
  <c r="I170"/>
  <c r="E15" i="21"/>
  <c r="G286" i="55"/>
  <c r="G288" s="1"/>
  <c r="I7" i="61"/>
  <c r="J168" i="72"/>
  <c r="J169"/>
  <c r="E133" i="29"/>
  <c r="E6" i="68"/>
  <c r="C25" i="21"/>
  <c r="F9"/>
  <c r="I38" i="61"/>
  <c r="I42" s="1"/>
  <c r="F9" i="69" s="1"/>
  <c r="G31" i="68" s="1"/>
  <c r="G171" i="29"/>
  <c r="G156"/>
  <c r="G141"/>
  <c r="G126"/>
  <c r="G32"/>
  <c r="J291" i="55"/>
  <c r="J292"/>
  <c r="O44" i="22"/>
  <c r="J220" i="55"/>
  <c r="J229" s="1"/>
  <c r="I168" i="72"/>
  <c r="I169"/>
  <c r="I291" i="55"/>
  <c r="I292"/>
  <c r="G162" i="72"/>
  <c r="G164" s="1"/>
  <c r="I8" i="61"/>
  <c r="Q49" i="22"/>
  <c r="E148" i="29"/>
  <c r="I187" i="55"/>
  <c r="I229" s="1"/>
  <c r="I293"/>
  <c r="I294"/>
  <c r="H43" i="22"/>
  <c r="G150" i="29" l="1"/>
  <c r="J297" i="55"/>
  <c r="H28" i="21" s="1"/>
  <c r="G180" i="29"/>
  <c r="G135"/>
  <c r="G165"/>
  <c r="I297" i="55"/>
  <c r="G28" i="21" s="1"/>
  <c r="I176" i="72"/>
  <c r="G29" i="21" s="1"/>
  <c r="J176" i="72"/>
  <c r="H29" i="21" s="1"/>
  <c r="F186" i="84"/>
  <c r="F188" s="1"/>
  <c r="I36" i="29"/>
  <c r="H145"/>
  <c r="F39"/>
  <c r="F15" i="21"/>
  <c r="G6" i="68" s="1"/>
  <c r="F163" i="29"/>
  <c r="F148"/>
  <c r="G177" i="84"/>
  <c r="E23" i="21" s="1"/>
  <c r="F178" i="29"/>
  <c r="H36"/>
  <c r="I145"/>
  <c r="H175"/>
  <c r="H160"/>
  <c r="I160"/>
  <c r="I175"/>
  <c r="H130"/>
  <c r="I130"/>
  <c r="I275" i="53"/>
  <c r="I277" s="1"/>
  <c r="K53" i="61"/>
  <c r="K18"/>
  <c r="G22" i="21"/>
  <c r="O12" s="1"/>
  <c r="K17" i="61"/>
  <c r="I21"/>
  <c r="F10" i="69" s="1"/>
  <c r="D18" i="21"/>
  <c r="J17" i="61"/>
  <c r="K51"/>
  <c r="J7"/>
  <c r="I285" i="55" s="1"/>
  <c r="K16" i="61"/>
  <c r="J286" i="55" s="1"/>
  <c r="K50" i="61"/>
  <c r="J51"/>
  <c r="J50"/>
  <c r="J16"/>
  <c r="H286" i="55"/>
  <c r="J41" i="21"/>
  <c r="D11" i="62"/>
  <c r="C29" i="68"/>
  <c r="C11"/>
  <c r="B27" i="69"/>
  <c r="H43" i="61"/>
  <c r="H45" s="1"/>
  <c r="E10" i="69"/>
  <c r="F32" i="68" s="1"/>
  <c r="F56" i="61"/>
  <c r="C25" i="69"/>
  <c r="D12" i="68" s="1"/>
  <c r="K38" i="61"/>
  <c r="H9" i="21"/>
  <c r="O45" i="22"/>
  <c r="E18" i="21"/>
  <c r="M8" s="1"/>
  <c r="G298" i="55"/>
  <c r="G301" s="1"/>
  <c r="E19" i="21"/>
  <c r="M9" s="1"/>
  <c r="G177" i="72"/>
  <c r="G179" s="1"/>
  <c r="G33" i="29"/>
  <c r="G39" s="1"/>
  <c r="G172"/>
  <c r="G178" s="1"/>
  <c r="G157"/>
  <c r="G163" s="1"/>
  <c r="G142"/>
  <c r="G148" s="1"/>
  <c r="G127"/>
  <c r="G133" s="1"/>
  <c r="H22" i="21"/>
  <c r="P12" s="1"/>
  <c r="J275" i="53"/>
  <c r="J277" s="1"/>
  <c r="G55" i="61"/>
  <c r="H46" i="22"/>
  <c r="G8" i="21"/>
  <c r="J37" i="61"/>
  <c r="H161" i="72"/>
  <c r="C38" i="21"/>
  <c r="C40" s="1"/>
  <c r="D166" i="29"/>
  <c r="D167" s="1"/>
  <c r="D168" s="1"/>
  <c r="D23" i="68"/>
  <c r="D136" i="29"/>
  <c r="D137" s="1"/>
  <c r="D138" s="1"/>
  <c r="D41"/>
  <c r="D43" s="1"/>
  <c r="D181"/>
  <c r="D182" s="1"/>
  <c r="D183" s="1"/>
  <c r="D151"/>
  <c r="D152" s="1"/>
  <c r="D153" s="1"/>
  <c r="H285" i="55"/>
  <c r="I12" i="61"/>
  <c r="I161" i="29"/>
  <c r="I146"/>
  <c r="I131"/>
  <c r="I37"/>
  <c r="I176"/>
  <c r="G9" i="21"/>
  <c r="J38" i="61"/>
  <c r="H162" i="72"/>
  <c r="J8" i="61"/>
  <c r="Q50" i="22"/>
  <c r="Q52" s="1"/>
  <c r="O46"/>
  <c r="F6" i="68"/>
  <c r="H8" i="21"/>
  <c r="K37" i="61"/>
  <c r="H36" i="21" l="1"/>
  <c r="I165" i="29" s="1"/>
  <c r="G36" i="21"/>
  <c r="H135" i="29" s="1"/>
  <c r="D25" i="21"/>
  <c r="E41" i="29" s="1"/>
  <c r="E43" s="1"/>
  <c r="L8" i="21"/>
  <c r="G186" i="84"/>
  <c r="G188" s="1"/>
  <c r="I43" i="61"/>
  <c r="I45" s="1"/>
  <c r="J21"/>
  <c r="G10" i="69" s="1"/>
  <c r="H32" i="68" s="1"/>
  <c r="H164" i="72"/>
  <c r="H177" s="1"/>
  <c r="H179" s="1"/>
  <c r="K7" i="61"/>
  <c r="J285" i="55" s="1"/>
  <c r="J288" s="1"/>
  <c r="J12" i="61"/>
  <c r="K21"/>
  <c r="K43" s="1"/>
  <c r="I286" i="55"/>
  <c r="I288" s="1"/>
  <c r="K42" i="61"/>
  <c r="H9" i="69" s="1"/>
  <c r="H288" i="55"/>
  <c r="I162" i="72"/>
  <c r="K8" i="61"/>
  <c r="J161" i="72" s="1"/>
  <c r="H177" i="84"/>
  <c r="F23" i="21" s="1"/>
  <c r="G32" i="68"/>
  <c r="G56" i="61"/>
  <c r="D24" i="69" s="1"/>
  <c r="D25"/>
  <c r="E12" i="68" s="1"/>
  <c r="C24" i="69"/>
  <c r="H15" i="21"/>
  <c r="I171" i="29"/>
  <c r="I156"/>
  <c r="I141"/>
  <c r="I126"/>
  <c r="I32"/>
  <c r="I161" i="72"/>
  <c r="I177" i="84"/>
  <c r="Q51" i="22"/>
  <c r="J42" i="61"/>
  <c r="I172" i="29"/>
  <c r="I157"/>
  <c r="I142"/>
  <c r="I127"/>
  <c r="I33"/>
  <c r="P43" i="22"/>
  <c r="H157" i="29"/>
  <c r="H142"/>
  <c r="H127"/>
  <c r="H33"/>
  <c r="H172"/>
  <c r="G15" i="21"/>
  <c r="H156" i="29"/>
  <c r="H141"/>
  <c r="H126"/>
  <c r="H32"/>
  <c r="H171"/>
  <c r="E25" i="21"/>
  <c r="J162" i="72"/>
  <c r="H55" i="61"/>
  <c r="D109" i="29"/>
  <c r="I43" i="22"/>
  <c r="I180" i="29" l="1"/>
  <c r="I24" i="68"/>
  <c r="I150" i="29"/>
  <c r="I135"/>
  <c r="H24" i="68"/>
  <c r="H150" i="29"/>
  <c r="H180"/>
  <c r="H165"/>
  <c r="E181"/>
  <c r="E182" s="1"/>
  <c r="E183" s="1"/>
  <c r="E166"/>
  <c r="E167" s="1"/>
  <c r="E168" s="1"/>
  <c r="E136"/>
  <c r="E137" s="1"/>
  <c r="E138" s="1"/>
  <c r="E23" i="68"/>
  <c r="D38" i="21"/>
  <c r="D40" s="1"/>
  <c r="E109" i="29" s="1"/>
  <c r="E151"/>
  <c r="E152" s="1"/>
  <c r="E153" s="1"/>
  <c r="J177" i="84"/>
  <c r="F19" i="21"/>
  <c r="N9" s="1"/>
  <c r="H298" i="55"/>
  <c r="H301" s="1"/>
  <c r="G18" i="21"/>
  <c r="O8" s="1"/>
  <c r="F18"/>
  <c r="N8" s="1"/>
  <c r="I164" i="72"/>
  <c r="I177" s="1"/>
  <c r="I179" s="1"/>
  <c r="K12" i="61"/>
  <c r="H186" i="84"/>
  <c r="H188" s="1"/>
  <c r="H10" i="69"/>
  <c r="I32" i="68" s="1"/>
  <c r="K45" i="61"/>
  <c r="I298" i="55"/>
  <c r="I301" s="1"/>
  <c r="H178" i="29"/>
  <c r="J43" i="61"/>
  <c r="J45" s="1"/>
  <c r="H163" i="29"/>
  <c r="I163"/>
  <c r="I39"/>
  <c r="I178"/>
  <c r="H56" i="61"/>
  <c r="E25" i="69"/>
  <c r="F12" i="68" s="1"/>
  <c r="G9" i="69"/>
  <c r="E11" i="68"/>
  <c r="E13" s="1"/>
  <c r="E29"/>
  <c r="D27" i="69"/>
  <c r="D29" i="68"/>
  <c r="D11"/>
  <c r="D13" s="1"/>
  <c r="C27" i="69"/>
  <c r="J164" i="72"/>
  <c r="E38" i="21"/>
  <c r="E40" s="1"/>
  <c r="F181" i="29"/>
  <c r="F182" s="1"/>
  <c r="F183" s="1"/>
  <c r="F23" i="68"/>
  <c r="F151" i="29"/>
  <c r="F152" s="1"/>
  <c r="F153" s="1"/>
  <c r="F41"/>
  <c r="F43" s="1"/>
  <c r="F166"/>
  <c r="F167" s="1"/>
  <c r="F168" s="1"/>
  <c r="F136"/>
  <c r="F137" s="1"/>
  <c r="F138" s="1"/>
  <c r="H39"/>
  <c r="H6" i="68"/>
  <c r="H133" i="29"/>
  <c r="I133"/>
  <c r="I6" i="68"/>
  <c r="H18" i="21"/>
  <c r="P8" s="1"/>
  <c r="J298" i="55"/>
  <c r="J301" s="1"/>
  <c r="H148" i="29"/>
  <c r="I148"/>
  <c r="G23" i="21"/>
  <c r="J55" i="61"/>
  <c r="I186" i="84"/>
  <c r="I188" s="1"/>
  <c r="I46" i="22"/>
  <c r="P44"/>
  <c r="P46" s="1"/>
  <c r="I55" i="61"/>
  <c r="F25" i="21" l="1"/>
  <c r="G151" i="29" s="1"/>
  <c r="G152" s="1"/>
  <c r="G153" s="1"/>
  <c r="G19" i="21"/>
  <c r="H23"/>
  <c r="J186" i="84"/>
  <c r="J188" s="1"/>
  <c r="E24" i="69"/>
  <c r="F29" i="68" s="1"/>
  <c r="J56" i="61"/>
  <c r="G25" i="69"/>
  <c r="I56" i="61"/>
  <c r="F25" i="69"/>
  <c r="G12" i="68" s="1"/>
  <c r="H31"/>
  <c r="I31"/>
  <c r="Q43" i="22"/>
  <c r="H19" i="21"/>
  <c r="P9" s="1"/>
  <c r="J177" i="72"/>
  <c r="J179" s="1"/>
  <c r="P45" i="22"/>
  <c r="K55" i="61"/>
  <c r="F109" i="29"/>
  <c r="G25" i="21" l="1"/>
  <c r="H166" i="29" s="1"/>
  <c r="H167" s="1"/>
  <c r="H168" s="1"/>
  <c r="O9" i="21"/>
  <c r="G166" i="29"/>
  <c r="G167" s="1"/>
  <c r="G168" s="1"/>
  <c r="F38" i="21"/>
  <c r="F40" s="1"/>
  <c r="G23" i="68"/>
  <c r="G41" i="29"/>
  <c r="G43" s="1"/>
  <c r="G181"/>
  <c r="G182" s="1"/>
  <c r="G183" s="1"/>
  <c r="G136"/>
  <c r="G137" s="1"/>
  <c r="G138" s="1"/>
  <c r="H25" i="21"/>
  <c r="I41" i="29" s="1"/>
  <c r="I43" s="1"/>
  <c r="F11" i="68"/>
  <c r="F13" s="1"/>
  <c r="E27" i="69"/>
  <c r="G24"/>
  <c r="H29" i="68" s="1"/>
  <c r="H12"/>
  <c r="F24" i="69"/>
  <c r="K56" i="61"/>
  <c r="H25" i="69"/>
  <c r="I12" i="68" s="1"/>
  <c r="Q44" i="22"/>
  <c r="H41" i="29" l="1"/>
  <c r="H43" s="1"/>
  <c r="H181"/>
  <c r="H182" s="1"/>
  <c r="H183" s="1"/>
  <c r="G38" i="21"/>
  <c r="G40" s="1"/>
  <c r="H109" i="29" s="1"/>
  <c r="H136"/>
  <c r="H137" s="1"/>
  <c r="H138" s="1"/>
  <c r="H23" i="68"/>
  <c r="H151" i="29"/>
  <c r="H152" s="1"/>
  <c r="H153" s="1"/>
  <c r="G109"/>
  <c r="I23" i="68"/>
  <c r="I181" i="29"/>
  <c r="I182" s="1"/>
  <c r="I183" s="1"/>
  <c r="I151"/>
  <c r="I152" s="1"/>
  <c r="I153" s="1"/>
  <c r="I136"/>
  <c r="I137" s="1"/>
  <c r="I138" s="1"/>
  <c r="H38" i="21"/>
  <c r="H40" s="1"/>
  <c r="I166" i="29"/>
  <c r="I167" s="1"/>
  <c r="I168" s="1"/>
  <c r="H11" i="68"/>
  <c r="H13" s="1"/>
  <c r="G27" i="69"/>
  <c r="H24"/>
  <c r="I11" i="68" s="1"/>
  <c r="I13" s="1"/>
  <c r="G11"/>
  <c r="G13" s="1"/>
  <c r="G29"/>
  <c r="F27" i="69"/>
  <c r="Q45" i="22"/>
  <c r="Q46"/>
  <c r="I109" i="29" l="1"/>
  <c r="H27" i="69"/>
  <c r="H31" s="1"/>
  <c r="I29" i="68"/>
  <c r="G7" i="57" l="1"/>
  <c r="G12" s="1"/>
  <c r="D5" i="62" s="1"/>
  <c r="C16" i="68" l="1"/>
  <c r="E21" i="62"/>
  <c r="D12"/>
  <c r="F5"/>
  <c r="F12" s="1"/>
  <c r="E19" s="1"/>
  <c r="C37" i="22"/>
  <c r="E20" i="62" l="1"/>
  <c r="E22" s="1"/>
  <c r="C15" i="29" s="1"/>
  <c r="C9" i="68"/>
  <c r="B34" i="69"/>
  <c r="C34" s="1"/>
  <c r="D34" s="1"/>
  <c r="E34" s="1"/>
  <c r="F34" s="1"/>
  <c r="G34" s="1"/>
  <c r="H34" s="1"/>
  <c r="K37" i="22"/>
  <c r="C65"/>
  <c r="B13" i="69" s="1"/>
  <c r="G38" i="22"/>
  <c r="G66" s="1"/>
  <c r="H38"/>
  <c r="H66" s="1"/>
  <c r="I38"/>
  <c r="I66" s="1"/>
  <c r="D38"/>
  <c r="D66" s="1"/>
  <c r="E38"/>
  <c r="E66" s="1"/>
  <c r="F38"/>
  <c r="F66" s="1"/>
  <c r="C38"/>
  <c r="C40" s="1"/>
  <c r="C94" i="29"/>
  <c r="C71"/>
  <c r="C83"/>
  <c r="D22"/>
  <c r="C7" i="68"/>
  <c r="B33" i="69"/>
  <c r="C33" l="1"/>
  <c r="E14"/>
  <c r="E42" i="21"/>
  <c r="H14" i="69"/>
  <c r="H42" i="21"/>
  <c r="K65" i="22"/>
  <c r="K38"/>
  <c r="D14" i="69"/>
  <c r="D42" i="21"/>
  <c r="G14" i="69"/>
  <c r="G42" i="21"/>
  <c r="C10" i="68"/>
  <c r="C13" s="1"/>
  <c r="D4" i="23"/>
  <c r="C68" i="22"/>
  <c r="D37"/>
  <c r="F14" i="69"/>
  <c r="F42" i="21"/>
  <c r="C39" i="22"/>
  <c r="C66"/>
  <c r="C14" i="69"/>
  <c r="C42" i="21"/>
  <c r="C96" i="22" l="1"/>
  <c r="E11" i="29"/>
  <c r="E96"/>
  <c r="D60"/>
  <c r="D45"/>
  <c r="D47" s="1"/>
  <c r="D110"/>
  <c r="C45" i="21"/>
  <c r="G60" i="29"/>
  <c r="H96"/>
  <c r="H11"/>
  <c r="G45"/>
  <c r="G47" s="1"/>
  <c r="F96" i="22"/>
  <c r="G110" i="29"/>
  <c r="F45" i="21"/>
  <c r="F11" i="29"/>
  <c r="D96" i="22"/>
  <c r="F96" i="29"/>
  <c r="E45"/>
  <c r="E47" s="1"/>
  <c r="E60"/>
  <c r="E110"/>
  <c r="D45" i="21"/>
  <c r="K39" i="22"/>
  <c r="K66"/>
  <c r="B97" s="1"/>
  <c r="E96"/>
  <c r="G11" i="29"/>
  <c r="F110"/>
  <c r="G96"/>
  <c r="F60"/>
  <c r="F45"/>
  <c r="F47" s="1"/>
  <c r="E45" i="21"/>
  <c r="C10" i="23"/>
  <c r="D8"/>
  <c r="B14" i="69"/>
  <c r="B15" s="1"/>
  <c r="B42" i="21"/>
  <c r="D40" i="22"/>
  <c r="D65"/>
  <c r="C13" i="69" s="1"/>
  <c r="C15" s="1"/>
  <c r="G96" i="22"/>
  <c r="H60" i="29"/>
  <c r="H45"/>
  <c r="H47" s="1"/>
  <c r="I96"/>
  <c r="I11"/>
  <c r="G45" i="21"/>
  <c r="H110" i="29"/>
  <c r="I60"/>
  <c r="I45"/>
  <c r="I47" s="1"/>
  <c r="J96"/>
  <c r="H96" i="22"/>
  <c r="J11" i="29"/>
  <c r="I110"/>
  <c r="H45" i="21"/>
  <c r="D33" i="69"/>
  <c r="C67" i="22"/>
  <c r="D39"/>
  <c r="K40"/>
  <c r="K68" l="1"/>
  <c r="L37"/>
  <c r="E33" i="69"/>
  <c r="F36" i="23"/>
  <c r="F57"/>
  <c r="F62"/>
  <c r="F24"/>
  <c r="F44"/>
  <c r="F48"/>
  <c r="F64"/>
  <c r="F28"/>
  <c r="F17"/>
  <c r="F20"/>
  <c r="F26"/>
  <c r="F35"/>
  <c r="F41"/>
  <c r="F49"/>
  <c r="F18"/>
  <c r="F40"/>
  <c r="F69"/>
  <c r="F21"/>
  <c r="F39"/>
  <c r="F56"/>
  <c r="F65"/>
  <c r="F27"/>
  <c r="F45"/>
  <c r="F55"/>
  <c r="F61"/>
  <c r="F33"/>
  <c r="F23"/>
  <c r="F30"/>
  <c r="F29"/>
  <c r="F32"/>
  <c r="F38"/>
  <c r="F52"/>
  <c r="F51"/>
  <c r="F68"/>
  <c r="F53"/>
  <c r="F73"/>
  <c r="F86"/>
  <c r="F93"/>
  <c r="F19"/>
  <c r="F37"/>
  <c r="F91"/>
  <c r="F67"/>
  <c r="F80"/>
  <c r="F22"/>
  <c r="F75"/>
  <c r="F74"/>
  <c r="F83"/>
  <c r="F90"/>
  <c r="F42"/>
  <c r="F50"/>
  <c r="F76"/>
  <c r="F89"/>
  <c r="F47"/>
  <c r="F77"/>
  <c r="F59"/>
  <c r="F81"/>
  <c r="F71"/>
  <c r="F87"/>
  <c r="F16"/>
  <c r="F72"/>
  <c r="F70"/>
  <c r="F92"/>
  <c r="F85"/>
  <c r="F60"/>
  <c r="F34"/>
  <c r="F46"/>
  <c r="F58"/>
  <c r="F63"/>
  <c r="F66"/>
  <c r="F43"/>
  <c r="F88"/>
  <c r="F84"/>
  <c r="F79"/>
  <c r="F54"/>
  <c r="F31"/>
  <c r="F78"/>
  <c r="F25"/>
  <c r="F82"/>
  <c r="E39" i="22"/>
  <c r="D67"/>
  <c r="D68"/>
  <c r="E37"/>
  <c r="D10" i="23"/>
  <c r="D11" i="29"/>
  <c r="D96"/>
  <c r="B96" i="22"/>
  <c r="C60" i="29"/>
  <c r="C45"/>
  <c r="C47" s="1"/>
  <c r="C49" s="1"/>
  <c r="D28" i="62" s="1"/>
  <c r="C110" i="29"/>
  <c r="B45" i="21"/>
  <c r="K67" i="22"/>
  <c r="F39" l="1"/>
  <c r="E67"/>
  <c r="E40"/>
  <c r="E65"/>
  <c r="D13" i="69" s="1"/>
  <c r="D15" s="1"/>
  <c r="F10" i="23"/>
  <c r="E10" s="1"/>
  <c r="L65" i="22"/>
  <c r="L38"/>
  <c r="L40" s="1"/>
  <c r="F33" i="69"/>
  <c r="E68" i="22" l="1"/>
  <c r="F37"/>
  <c r="G33" i="69"/>
  <c r="G10" i="23"/>
  <c r="C11" s="1"/>
  <c r="L68" i="22"/>
  <c r="M37"/>
  <c r="L66"/>
  <c r="C97" s="1"/>
  <c r="L39"/>
  <c r="G39"/>
  <c r="F67"/>
  <c r="L67" l="1"/>
  <c r="M65"/>
  <c r="M38"/>
  <c r="M66" s="1"/>
  <c r="D97" s="1"/>
  <c r="G67"/>
  <c r="H39"/>
  <c r="H33" i="69"/>
  <c r="D11" i="23"/>
  <c r="F65" i="22"/>
  <c r="E13" i="69" s="1"/>
  <c r="E15" s="1"/>
  <c r="F40" i="22"/>
  <c r="M39" l="1"/>
  <c r="M67" s="1"/>
  <c r="M40"/>
  <c r="M68" s="1"/>
  <c r="H67"/>
  <c r="I39"/>
  <c r="I67" s="1"/>
  <c r="F68"/>
  <c r="G37"/>
  <c r="F11" i="23"/>
  <c r="E11" s="1"/>
  <c r="N37" i="22" l="1"/>
  <c r="N65" s="1"/>
  <c r="G11" i="23"/>
  <c r="C12" s="1"/>
  <c r="G40" i="22"/>
  <c r="G65"/>
  <c r="F13" i="69" s="1"/>
  <c r="F15" s="1"/>
  <c r="N38" i="22" l="1"/>
  <c r="N40" s="1"/>
  <c r="N68" s="1"/>
  <c r="G68"/>
  <c r="H37"/>
  <c r="D12" i="23"/>
  <c r="O37" i="22" l="1"/>
  <c r="O65" s="1"/>
  <c r="N39"/>
  <c r="N67" s="1"/>
  <c r="N66"/>
  <c r="E97" s="1"/>
  <c r="F12" i="23"/>
  <c r="E12" s="1"/>
  <c r="H40" i="22"/>
  <c r="H65"/>
  <c r="G13" i="69" s="1"/>
  <c r="G15" s="1"/>
  <c r="O38" i="22" l="1"/>
  <c r="O66" s="1"/>
  <c r="F97" s="1"/>
  <c r="I37"/>
  <c r="H68"/>
  <c r="G12" i="23"/>
  <c r="C13" s="1"/>
  <c r="O39" i="22" l="1"/>
  <c r="O67" s="1"/>
  <c r="O40"/>
  <c r="O68" s="1"/>
  <c r="D13" i="23"/>
  <c r="I40" i="22"/>
  <c r="I68" s="1"/>
  <c r="I65"/>
  <c r="H13" i="69" s="1"/>
  <c r="H15" s="1"/>
  <c r="P37" i="22" l="1"/>
  <c r="P65" s="1"/>
  <c r="F13" i="23"/>
  <c r="E13" s="1"/>
  <c r="P38" i="22" l="1"/>
  <c r="P40" s="1"/>
  <c r="Q37" s="1"/>
  <c r="G13" i="23"/>
  <c r="C14" s="1"/>
  <c r="P66" i="22"/>
  <c r="G97" s="1"/>
  <c r="P39" l="1"/>
  <c r="P67" s="1"/>
  <c r="P68"/>
  <c r="D14" i="23"/>
  <c r="Q65" i="22"/>
  <c r="Q38"/>
  <c r="Q66" s="1"/>
  <c r="H97" s="1"/>
  <c r="Q40" l="1"/>
  <c r="Q68" s="1"/>
  <c r="F14" i="23"/>
  <c r="E14" s="1"/>
  <c r="Q39" i="22"/>
  <c r="Q67" s="1"/>
  <c r="G14" i="23" l="1"/>
  <c r="C15" s="1"/>
  <c r="D15" l="1"/>
  <c r="F15" s="1"/>
  <c r="E15" s="1"/>
  <c r="G15" s="1"/>
  <c r="C16" s="1"/>
  <c r="D16" l="1"/>
  <c r="E16" s="1"/>
  <c r="G16" s="1"/>
  <c r="C17" s="1"/>
  <c r="D17" l="1"/>
  <c r="E17" s="1"/>
  <c r="G17" s="1"/>
  <c r="C18" s="1"/>
  <c r="D18" l="1"/>
  <c r="E18" s="1"/>
  <c r="G18" s="1"/>
  <c r="C19" s="1"/>
  <c r="D19" l="1"/>
  <c r="E19" s="1"/>
  <c r="G19" s="1"/>
  <c r="C20" s="1"/>
  <c r="D20" l="1"/>
  <c r="E20" s="1"/>
  <c r="G20" s="1"/>
  <c r="C21" s="1"/>
  <c r="D21" l="1"/>
  <c r="E21" l="1"/>
  <c r="C27" i="68"/>
  <c r="C26" l="1"/>
  <c r="G21" i="23"/>
  <c r="B47" i="21"/>
  <c r="B49" s="1"/>
  <c r="C112" i="29"/>
  <c r="C114" s="1"/>
  <c r="C116" l="1"/>
  <c r="C118" s="1"/>
  <c r="J40" i="21"/>
  <c r="J42" s="1"/>
  <c r="B95" i="22"/>
  <c r="B98" s="1"/>
  <c r="B99" s="1"/>
  <c r="B50" i="21" s="1"/>
  <c r="C30" i="68" s="1"/>
  <c r="C33" s="1"/>
  <c r="C34" s="1"/>
  <c r="C36" s="1"/>
  <c r="B28" i="69"/>
  <c r="B31" s="1"/>
  <c r="C22" i="23"/>
  <c r="B8" i="69" l="1"/>
  <c r="B11" s="1"/>
  <c r="B20" s="1"/>
  <c r="D35" i="68"/>
  <c r="D22" i="23"/>
  <c r="B51" i="21"/>
  <c r="D9" i="29" s="1"/>
  <c r="E22" i="23" l="1"/>
  <c r="C58" i="29"/>
  <c r="C63" s="1"/>
  <c r="C67" s="1"/>
  <c r="C80"/>
  <c r="D95"/>
  <c r="D98" s="1"/>
  <c r="D99" s="1"/>
  <c r="B53" i="21"/>
  <c r="D14" i="29"/>
  <c r="D15" l="1"/>
  <c r="B37" i="69"/>
  <c r="B39" s="1"/>
  <c r="G22" i="23"/>
  <c r="C23" s="1"/>
  <c r="D23" l="1"/>
  <c r="C36" i="69"/>
  <c r="B41"/>
  <c r="B43" s="1"/>
  <c r="B46" s="1"/>
  <c r="E23" i="23" l="1"/>
  <c r="G23" l="1"/>
  <c r="C24" s="1"/>
  <c r="D24" l="1"/>
  <c r="E24" l="1"/>
  <c r="G24" l="1"/>
  <c r="C25" s="1"/>
  <c r="D25" l="1"/>
  <c r="E25" l="1"/>
  <c r="G25" l="1"/>
  <c r="C26" s="1"/>
  <c r="D26" l="1"/>
  <c r="E26" l="1"/>
  <c r="G26" l="1"/>
  <c r="C27" s="1"/>
  <c r="D27" l="1"/>
  <c r="E27" s="1"/>
  <c r="G27" s="1"/>
  <c r="C28" s="1"/>
  <c r="D28" l="1"/>
  <c r="E28" s="1"/>
  <c r="G28" s="1"/>
  <c r="C29" s="1"/>
  <c r="D29" l="1"/>
  <c r="E29" s="1"/>
  <c r="G29" s="1"/>
  <c r="C30" s="1"/>
  <c r="D30" l="1"/>
  <c r="E30" s="1"/>
  <c r="G30" s="1"/>
  <c r="C31" s="1"/>
  <c r="D31" l="1"/>
  <c r="E31" s="1"/>
  <c r="G31" s="1"/>
  <c r="C32" s="1"/>
  <c r="D32" l="1"/>
  <c r="E32" s="1"/>
  <c r="G32" s="1"/>
  <c r="C33" s="1"/>
  <c r="D33" l="1"/>
  <c r="E33" l="1"/>
  <c r="D27" i="68"/>
  <c r="D26" l="1"/>
  <c r="G33" i="23"/>
  <c r="D112" i="29"/>
  <c r="D114" s="1"/>
  <c r="C47" i="21"/>
  <c r="C49" s="1"/>
  <c r="D116" i="29" l="1"/>
  <c r="D118" s="1"/>
  <c r="C95" i="22"/>
  <c r="C98" s="1"/>
  <c r="C99" s="1"/>
  <c r="C50" i="21" s="1"/>
  <c r="D30" i="68" s="1"/>
  <c r="D33" s="1"/>
  <c r="D34" s="1"/>
  <c r="D36" s="1"/>
  <c r="C28" i="69"/>
  <c r="C31" s="1"/>
  <c r="C34" i="23"/>
  <c r="C8" i="69" l="1"/>
  <c r="C11" s="1"/>
  <c r="C20" s="1"/>
  <c r="E35" i="68"/>
  <c r="C51" i="21"/>
  <c r="D34" i="23"/>
  <c r="E34" l="1"/>
  <c r="E95" i="29"/>
  <c r="E98" s="1"/>
  <c r="E99" s="1"/>
  <c r="C37" i="69"/>
  <c r="C39" s="1"/>
  <c r="D80" i="29"/>
  <c r="D58"/>
  <c r="D63" s="1"/>
  <c r="D67" s="1"/>
  <c r="E9"/>
  <c r="E14" s="1"/>
  <c r="C53" i="21"/>
  <c r="D36" i="69" l="1"/>
  <c r="C41"/>
  <c r="C43" s="1"/>
  <c r="C46" s="1"/>
  <c r="E15" i="29"/>
  <c r="G34" i="23"/>
  <c r="C35" s="1"/>
  <c r="D35" l="1"/>
  <c r="E35" l="1"/>
  <c r="G35" l="1"/>
  <c r="C36" s="1"/>
  <c r="D36" l="1"/>
  <c r="E36" l="1"/>
  <c r="G36" l="1"/>
  <c r="C37" s="1"/>
  <c r="D37" l="1"/>
  <c r="E37" l="1"/>
  <c r="G37" l="1"/>
  <c r="C38" s="1"/>
  <c r="D38" l="1"/>
  <c r="E38" l="1"/>
  <c r="G38" l="1"/>
  <c r="C39" s="1"/>
  <c r="D39" l="1"/>
  <c r="E39" s="1"/>
  <c r="G39" s="1"/>
  <c r="C40" s="1"/>
  <c r="D40" l="1"/>
  <c r="E40" s="1"/>
  <c r="G40" s="1"/>
  <c r="C41" s="1"/>
  <c r="D41" l="1"/>
  <c r="E41" s="1"/>
  <c r="G41" s="1"/>
  <c r="C42" s="1"/>
  <c r="D42" l="1"/>
  <c r="E42" s="1"/>
  <c r="G42" s="1"/>
  <c r="C43" s="1"/>
  <c r="D43" l="1"/>
  <c r="E43" s="1"/>
  <c r="G43" s="1"/>
  <c r="C44" s="1"/>
  <c r="D44" l="1"/>
  <c r="E44" s="1"/>
  <c r="G44" s="1"/>
  <c r="C45" s="1"/>
  <c r="D45" l="1"/>
  <c r="E45" l="1"/>
  <c r="E27" i="68"/>
  <c r="E112" i="29" l="1"/>
  <c r="E114" s="1"/>
  <c r="D47" i="21"/>
  <c r="D49" s="1"/>
  <c r="E26" i="68"/>
  <c r="G45" i="23"/>
  <c r="C46" l="1"/>
  <c r="D28" i="69"/>
  <c r="D31" s="1"/>
  <c r="E116" i="29"/>
  <c r="E118" s="1"/>
  <c r="D95" i="22"/>
  <c r="D98" s="1"/>
  <c r="D99" s="1"/>
  <c r="D50" i="21" s="1"/>
  <c r="E30" i="68" s="1"/>
  <c r="E33" s="1"/>
  <c r="E34" s="1"/>
  <c r="E36" s="1"/>
  <c r="D51" i="21" l="1"/>
  <c r="D37" i="69" s="1"/>
  <c r="D39" s="1"/>
  <c r="F35" i="68"/>
  <c r="D8" i="69"/>
  <c r="D11" s="1"/>
  <c r="D20" s="1"/>
  <c r="D46" i="23"/>
  <c r="E58" i="29" l="1"/>
  <c r="E63" s="1"/>
  <c r="E67" s="1"/>
  <c r="E80"/>
  <c r="D53" i="21"/>
  <c r="F9" i="29"/>
  <c r="F14" s="1"/>
  <c r="F15" s="1"/>
  <c r="F95"/>
  <c r="F98" s="1"/>
  <c r="F99" s="1"/>
  <c r="E46" i="23"/>
  <c r="E36" i="69"/>
  <c r="D41"/>
  <c r="D43" s="1"/>
  <c r="D46" s="1"/>
  <c r="G46" i="23" l="1"/>
  <c r="C47" s="1"/>
  <c r="D47" l="1"/>
  <c r="E47" l="1"/>
  <c r="G47" l="1"/>
  <c r="C48" s="1"/>
  <c r="D48" l="1"/>
  <c r="E48" l="1"/>
  <c r="G48" l="1"/>
  <c r="C49" s="1"/>
  <c r="D49" l="1"/>
  <c r="E49" l="1"/>
  <c r="G49" l="1"/>
  <c r="C50" s="1"/>
  <c r="D50" l="1"/>
  <c r="E50" l="1"/>
  <c r="G50" l="1"/>
  <c r="C51" s="1"/>
  <c r="D51" l="1"/>
  <c r="E51" s="1"/>
  <c r="G51" s="1"/>
  <c r="C52" s="1"/>
  <c r="D52" l="1"/>
  <c r="E52" s="1"/>
  <c r="G52" s="1"/>
  <c r="C53" s="1"/>
  <c r="D53" l="1"/>
  <c r="E53" s="1"/>
  <c r="G53" s="1"/>
  <c r="C54" s="1"/>
  <c r="D54" l="1"/>
  <c r="E54" s="1"/>
  <c r="G54" s="1"/>
  <c r="C55" s="1"/>
  <c r="D55" l="1"/>
  <c r="E55" s="1"/>
  <c r="G55" s="1"/>
  <c r="C56" s="1"/>
  <c r="D56" l="1"/>
  <c r="E56" s="1"/>
  <c r="G56" s="1"/>
  <c r="C57" s="1"/>
  <c r="D57" l="1"/>
  <c r="E57" l="1"/>
  <c r="F27" i="68"/>
  <c r="F112" i="29" l="1"/>
  <c r="F114" s="1"/>
  <c r="E47" i="21"/>
  <c r="E49" s="1"/>
  <c r="F26" i="68"/>
  <c r="G57" i="23"/>
  <c r="E28" i="69" l="1"/>
  <c r="E31" s="1"/>
  <c r="C58" i="23"/>
  <c r="F116" i="29"/>
  <c r="F118" s="1"/>
  <c r="E95" i="22"/>
  <c r="E98" s="1"/>
  <c r="E99" s="1"/>
  <c r="E50" i="21" s="1"/>
  <c r="F30" i="68" s="1"/>
  <c r="F33" s="1"/>
  <c r="F34" s="1"/>
  <c r="F36" s="1"/>
  <c r="G35" l="1"/>
  <c r="E8" i="69"/>
  <c r="E11" s="1"/>
  <c r="E20" s="1"/>
  <c r="E51" i="21"/>
  <c r="D58" i="23"/>
  <c r="F80" i="29" l="1"/>
  <c r="E37" i="69"/>
  <c r="E39" s="1"/>
  <c r="G95" i="29"/>
  <c r="G98" s="1"/>
  <c r="G99" s="1"/>
  <c r="G9"/>
  <c r="G14" s="1"/>
  <c r="F58"/>
  <c r="F63" s="1"/>
  <c r="F67" s="1"/>
  <c r="E53" i="21"/>
  <c r="E58" i="23"/>
  <c r="G15" i="29" l="1"/>
  <c r="F36" i="69"/>
  <c r="E41"/>
  <c r="E43" s="1"/>
  <c r="E46" s="1"/>
  <c r="G58" i="23"/>
  <c r="C59" s="1"/>
  <c r="D59" l="1"/>
  <c r="E59" l="1"/>
  <c r="G59" l="1"/>
  <c r="C60" s="1"/>
  <c r="D60" l="1"/>
  <c r="E60" l="1"/>
  <c r="G60" l="1"/>
  <c r="C61" s="1"/>
  <c r="D61" l="1"/>
  <c r="E61" l="1"/>
  <c r="G61" l="1"/>
  <c r="C62" s="1"/>
  <c r="D62" l="1"/>
  <c r="E62" l="1"/>
  <c r="G62" l="1"/>
  <c r="C63" s="1"/>
  <c r="D63" l="1"/>
  <c r="E63" s="1"/>
  <c r="G63" s="1"/>
  <c r="C64" s="1"/>
  <c r="D64" l="1"/>
  <c r="E64" s="1"/>
  <c r="G64" s="1"/>
  <c r="C65" s="1"/>
  <c r="D65" l="1"/>
  <c r="E65" s="1"/>
  <c r="G65" s="1"/>
  <c r="C66" s="1"/>
  <c r="D66" l="1"/>
  <c r="E66" s="1"/>
  <c r="G66" s="1"/>
  <c r="C67" s="1"/>
  <c r="D67" l="1"/>
  <c r="E67" s="1"/>
  <c r="G67" s="1"/>
  <c r="C68" s="1"/>
  <c r="D68" l="1"/>
  <c r="E68" s="1"/>
  <c r="G68" s="1"/>
  <c r="C69" s="1"/>
  <c r="D69" l="1"/>
  <c r="E69" l="1"/>
  <c r="G27" i="68"/>
  <c r="G26" l="1"/>
  <c r="G69" i="23"/>
  <c r="F47" i="21"/>
  <c r="F49" s="1"/>
  <c r="G112" i="29"/>
  <c r="G114" s="1"/>
  <c r="F95" i="22" l="1"/>
  <c r="F98" s="1"/>
  <c r="F99" s="1"/>
  <c r="F50" i="21" s="1"/>
  <c r="G30" i="68" s="1"/>
  <c r="G33" s="1"/>
  <c r="G34" s="1"/>
  <c r="G36" s="1"/>
  <c r="F28" i="69"/>
  <c r="F31" s="1"/>
  <c r="C70" i="23"/>
  <c r="G116" i="29"/>
  <c r="G118" s="1"/>
  <c r="H35" i="68" l="1"/>
  <c r="F8" i="69"/>
  <c r="F11" s="1"/>
  <c r="F20" s="1"/>
  <c r="F51" i="21"/>
  <c r="D70" i="23"/>
  <c r="G80" i="29" l="1"/>
  <c r="F37" i="69"/>
  <c r="F39" s="1"/>
  <c r="H9" i="29"/>
  <c r="H14" s="1"/>
  <c r="H95"/>
  <c r="H98" s="1"/>
  <c r="G58"/>
  <c r="G63" s="1"/>
  <c r="G67" s="1"/>
  <c r="F53" i="21"/>
  <c r="E70" i="23"/>
  <c r="D101" i="29" l="1"/>
  <c r="D32" i="62" s="1"/>
  <c r="H99" i="29"/>
  <c r="H15"/>
  <c r="G36" i="69"/>
  <c r="F41"/>
  <c r="F43" s="1"/>
  <c r="F46" s="1"/>
  <c r="G70" i="23"/>
  <c r="C71" s="1"/>
  <c r="D71" l="1"/>
  <c r="E71" l="1"/>
  <c r="G71" l="1"/>
  <c r="C72" s="1"/>
  <c r="D72" l="1"/>
  <c r="E72" l="1"/>
  <c r="G72" l="1"/>
  <c r="C73" s="1"/>
  <c r="D73" l="1"/>
  <c r="E73" l="1"/>
  <c r="G73" l="1"/>
  <c r="C74" s="1"/>
  <c r="D74" l="1"/>
  <c r="E74" l="1"/>
  <c r="G74" l="1"/>
  <c r="C75" s="1"/>
  <c r="D75" l="1"/>
  <c r="E75" s="1"/>
  <c r="G75" s="1"/>
  <c r="C76" s="1"/>
  <c r="D76" l="1"/>
  <c r="E76" s="1"/>
  <c r="G76" s="1"/>
  <c r="C77" s="1"/>
  <c r="D77" l="1"/>
  <c r="E77" s="1"/>
  <c r="G77" s="1"/>
  <c r="C78" s="1"/>
  <c r="D78" l="1"/>
  <c r="E78" s="1"/>
  <c r="G78" s="1"/>
  <c r="C79" s="1"/>
  <c r="D79" l="1"/>
  <c r="E79" s="1"/>
  <c r="G79" s="1"/>
  <c r="C80" s="1"/>
  <c r="D80" l="1"/>
  <c r="E80" s="1"/>
  <c r="G80" s="1"/>
  <c r="C81" s="1"/>
  <c r="D81" l="1"/>
  <c r="E81" l="1"/>
  <c r="H27" i="68"/>
  <c r="G47" i="21" l="1"/>
  <c r="G49" s="1"/>
  <c r="H112" i="29"/>
  <c r="H114" s="1"/>
  <c r="H26" i="68"/>
  <c r="G81" i="23"/>
  <c r="G28" i="69" l="1"/>
  <c r="G31" s="1"/>
  <c r="C82" i="23"/>
  <c r="H116" i="29"/>
  <c r="H118" s="1"/>
  <c r="G95" i="22"/>
  <c r="G98" s="1"/>
  <c r="G99" s="1"/>
  <c r="G50" i="21" s="1"/>
  <c r="H30" i="68" s="1"/>
  <c r="H33" s="1"/>
  <c r="H34" s="1"/>
  <c r="H36" s="1"/>
  <c r="I35" l="1"/>
  <c r="G8" i="69"/>
  <c r="G11" s="1"/>
  <c r="G20" s="1"/>
  <c r="G51" i="21"/>
  <c r="D82" i="23"/>
  <c r="E82" l="1"/>
  <c r="I95" i="29"/>
  <c r="I98" s="1"/>
  <c r="I99" s="1"/>
  <c r="H58"/>
  <c r="H63" s="1"/>
  <c r="H67" s="1"/>
  <c r="G37" i="69"/>
  <c r="G39" s="1"/>
  <c r="I9" i="29"/>
  <c r="I14" s="1"/>
  <c r="H80"/>
  <c r="G53" i="21"/>
  <c r="I15" i="29" l="1"/>
  <c r="G82" i="23"/>
  <c r="C83" s="1"/>
  <c r="H36" i="69"/>
  <c r="G41"/>
  <c r="G43" s="1"/>
  <c r="G46" s="1"/>
  <c r="D83" i="23" l="1"/>
  <c r="E83" l="1"/>
  <c r="G83" l="1"/>
  <c r="C84" s="1"/>
  <c r="D84" l="1"/>
  <c r="E84" l="1"/>
  <c r="G84" l="1"/>
  <c r="C85" s="1"/>
  <c r="D85" l="1"/>
  <c r="E85" l="1"/>
  <c r="G85" l="1"/>
  <c r="C86" s="1"/>
  <c r="D86" l="1"/>
  <c r="E86" l="1"/>
  <c r="G86" l="1"/>
  <c r="C87" s="1"/>
  <c r="D87" l="1"/>
  <c r="E87" s="1"/>
  <c r="G87" s="1"/>
  <c r="C88" s="1"/>
  <c r="D88" l="1"/>
  <c r="E88" s="1"/>
  <c r="G88" s="1"/>
  <c r="C89" s="1"/>
  <c r="D89" l="1"/>
  <c r="E89" s="1"/>
  <c r="G89" s="1"/>
  <c r="C90" s="1"/>
  <c r="D90" l="1"/>
  <c r="E90" s="1"/>
  <c r="G90" s="1"/>
  <c r="C91" s="1"/>
  <c r="D91" l="1"/>
  <c r="E91" s="1"/>
  <c r="G91" s="1"/>
  <c r="C92" s="1"/>
  <c r="D92" l="1"/>
  <c r="E92" s="1"/>
  <c r="G92" s="1"/>
  <c r="C93" s="1"/>
  <c r="D93" l="1"/>
  <c r="E93" l="1"/>
  <c r="D94"/>
  <c r="I27" i="68"/>
  <c r="I112" i="29" l="1"/>
  <c r="I114" s="1"/>
  <c r="H47" i="21"/>
  <c r="H49" s="1"/>
  <c r="E94" i="23"/>
  <c r="I26" i="68"/>
  <c r="G93" i="23"/>
  <c r="I116" i="29" l="1"/>
  <c r="I118" s="1"/>
  <c r="C120" s="1"/>
  <c r="D33" i="62" s="1"/>
  <c r="H95" i="22"/>
  <c r="H98" s="1"/>
  <c r="H99" s="1"/>
  <c r="H50" i="21" s="1"/>
  <c r="I30" i="68" s="1"/>
  <c r="I33" s="1"/>
  <c r="I34" s="1"/>
  <c r="I36" s="1"/>
  <c r="H8" i="69" s="1"/>
  <c r="H11" s="1"/>
  <c r="H20" s="1"/>
  <c r="H51" i="21" l="1"/>
  <c r="I80" i="29" l="1"/>
  <c r="C82" s="1"/>
  <c r="C85" s="1"/>
  <c r="D29" i="62" s="1"/>
  <c r="H37" i="69"/>
  <c r="H39" s="1"/>
  <c r="H41" s="1"/>
  <c r="H43" s="1"/>
  <c r="H46" s="1"/>
  <c r="J9" i="29"/>
  <c r="J14" s="1"/>
  <c r="J95"/>
  <c r="J98" s="1"/>
  <c r="J99" s="1"/>
  <c r="I58"/>
  <c r="I63" s="1"/>
  <c r="I67" s="1"/>
  <c r="C69" s="1"/>
  <c r="C73" s="1"/>
  <c r="D31" i="62" s="1"/>
  <c r="H53" i="21"/>
  <c r="J15" i="29" l="1"/>
  <c r="C16" s="1"/>
  <c r="D30" i="62" l="1"/>
  <c r="D18" i="29"/>
  <c r="E18" l="1"/>
  <c r="D19"/>
  <c r="F18" l="1"/>
  <c r="E19"/>
  <c r="G18" l="1"/>
  <c r="F19"/>
  <c r="H18" l="1"/>
  <c r="G19"/>
  <c r="I18" l="1"/>
  <c r="H19"/>
  <c r="J18" l="1"/>
  <c r="J19" s="1"/>
  <c r="I19"/>
  <c r="D20" l="1"/>
  <c r="F23" s="1"/>
</calcChain>
</file>

<file path=xl/sharedStrings.xml><?xml version="1.0" encoding="utf-8"?>
<sst xmlns="http://schemas.openxmlformats.org/spreadsheetml/2006/main" count="1459" uniqueCount="749">
  <si>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</si>
  <si>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</si>
  <si>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</si>
  <si>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</si>
  <si>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</si>
  <si>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</si>
  <si>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</si>
  <si>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</si>
  <si>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</si>
  <si>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</si>
  <si>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</si>
  <si>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</si>
  <si>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</si>
  <si>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</si>
  <si>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</si>
  <si>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</si>
  <si>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</si>
  <si>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</si>
  <si>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</si>
  <si>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</si>
  <si>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</si>
  <si>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</si>
  <si>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</si>
  <si>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</si>
  <si>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</si>
  <si>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</si>
  <si>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</si>
  <si>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</si>
  <si>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</si>
  <si>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</si>
  <si>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</si>
  <si>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</si>
  <si>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</si>
  <si>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</si>
  <si>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</si>
  <si>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</si>
  <si>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</si>
  <si>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</si>
  <si>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</si>
  <si>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</si>
  <si>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</si>
  <si>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</si>
  <si>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</si>
  <si>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</si>
  <si>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</si>
  <si>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</si>
  <si>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</si>
  <si>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</si>
  <si>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</si>
  <si>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</si>
  <si>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</si>
  <si>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</si>
  <si>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</si>
  <si>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</si>
  <si>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</si>
  <si>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</si>
  <si>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</si>
  <si>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</si>
  <si>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</si>
  <si>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</si>
  <si>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</si>
  <si>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</si>
  <si>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</si>
  <si>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</si>
  <si>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</si>
  <si>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</si>
  <si>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</si>
  <si>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</si>
  <si>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</si>
  <si>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</si>
  <si>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</si>
  <si>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</si>
  <si>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</si>
  <si>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</si>
  <si>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</si>
  <si>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</si>
  <si>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</si>
  <si>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</si>
  <si>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</si>
  <si>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</si>
  <si>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</si>
  <si>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</si>
  <si>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</si>
  <si>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</si>
  <si>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</si>
  <si>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</si>
  <si>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</si>
  <si>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</si>
  <si>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</si>
  <si>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</si>
  <si>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</si>
  <si>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</si>
  <si>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</si>
  <si>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</si>
  <si>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</si>
  <si>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</si>
  <si>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</si>
  <si>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</si>
  <si>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</si>
  <si>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</si>
  <si>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</si>
  <si>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</si>
  <si>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</si>
  <si>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</si>
  <si>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</si>
  <si>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</si>
  <si>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</si>
  <si>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</si>
  <si>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</si>
  <si>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</si>
  <si>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</si>
  <si>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</si>
  <si>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</si>
  <si>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</si>
  <si>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</si>
  <si>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</si>
  <si>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</si>
  <si>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</si>
  <si>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</si>
  <si>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</si>
  <si>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</si>
  <si>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</si>
  <si>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</si>
  <si>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</si>
  <si>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</si>
  <si>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</si>
  <si>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</si>
  <si>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</si>
  <si>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</si>
  <si>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</si>
  <si>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</si>
  <si>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</si>
  <si>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</si>
  <si>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</si>
  <si>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</si>
  <si>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</si>
  <si>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</si>
  <si>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</si>
  <si>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</si>
  <si>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</si>
  <si>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</si>
  <si>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</si>
  <si>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</si>
  <si>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</si>
  <si>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</si>
  <si>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</si>
  <si>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</si>
  <si>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</si>
  <si>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</si>
  <si>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</si>
  <si>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Description</t>
  </si>
  <si>
    <t>No. Required</t>
  </si>
  <si>
    <t>Rate</t>
  </si>
  <si>
    <t>Total HP</t>
  </si>
  <si>
    <t>Land and Building</t>
  </si>
  <si>
    <t>Machinery and Equipment</t>
  </si>
  <si>
    <t>Working Capital</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</si>
  <si>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</si>
  <si>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</si>
  <si>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</si>
  <si>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</si>
  <si>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</si>
  <si>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</si>
  <si>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</si>
  <si>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</si>
  <si>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</si>
  <si>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</si>
  <si>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</si>
  <si>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</si>
  <si>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</si>
  <si>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</si>
  <si>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</si>
  <si>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</si>
  <si>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</si>
  <si>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</si>
  <si>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</si>
  <si>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</si>
  <si>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</si>
  <si>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</si>
  <si>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</si>
  <si>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</si>
  <si>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</si>
  <si>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</si>
  <si>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</si>
  <si>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</si>
  <si>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</si>
  <si>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</si>
  <si>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</si>
  <si>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</si>
  <si>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</si>
  <si>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</si>
  <si>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</si>
  <si>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</si>
  <si>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</si>
  <si>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</si>
  <si>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</si>
  <si>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</si>
  <si>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</si>
  <si>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</si>
  <si>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</si>
  <si>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</si>
  <si>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</si>
  <si>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</si>
  <si>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</si>
  <si>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</si>
  <si>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</si>
  <si>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</si>
  <si>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</si>
  <si>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</si>
  <si>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</si>
  <si>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</si>
  <si>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</si>
  <si>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</si>
  <si>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</si>
  <si>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</si>
  <si>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</si>
  <si>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</si>
  <si>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</si>
  <si>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</si>
  <si>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</si>
  <si>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</si>
  <si>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</si>
  <si>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</si>
  <si>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</si>
  <si>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</si>
  <si>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</si>
  <si>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</si>
  <si>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</si>
  <si>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</si>
  <si>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Grant</t>
  </si>
  <si>
    <t>Long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</si>
  <si>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</si>
  <si>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</si>
  <si>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</si>
  <si>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</si>
  <si>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</si>
  <si>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</si>
  <si>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</si>
  <si>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</si>
  <si>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</si>
  <si>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</si>
  <si>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</si>
  <si>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</si>
  <si>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</si>
  <si>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</si>
  <si>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</si>
  <si>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</si>
  <si>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</si>
  <si>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</si>
  <si>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</si>
  <si>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</si>
  <si>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</si>
  <si>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</si>
  <si>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</si>
  <si>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</si>
  <si>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</si>
  <si>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</si>
  <si>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</si>
  <si>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</si>
  <si>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</si>
  <si>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</si>
  <si>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</si>
  <si>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</si>
  <si>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</si>
  <si>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</si>
  <si>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</si>
  <si>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</si>
  <si>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</si>
  <si>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</si>
  <si>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</si>
  <si>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</si>
  <si>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</si>
  <si>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</si>
  <si>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</si>
  <si>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</si>
  <si>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</si>
  <si>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</si>
  <si>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</si>
  <si>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</si>
  <si>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</si>
  <si>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</si>
  <si>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</si>
  <si>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</si>
  <si>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</si>
  <si>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</si>
  <si>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</si>
  <si>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</si>
  <si>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</si>
  <si>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</si>
  <si>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</si>
  <si>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</si>
  <si>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</si>
  <si>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</si>
  <si>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</si>
  <si>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</si>
  <si>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</si>
  <si>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</si>
  <si>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</si>
  <si>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</si>
  <si>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</si>
  <si>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</si>
  <si>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</si>
  <si>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</si>
  <si>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</si>
  <si>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</si>
  <si>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</si>
  <si>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</si>
  <si>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</si>
  <si>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</si>
  <si>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</si>
  <si>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</si>
  <si>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</si>
  <si>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</si>
  <si>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</si>
  <si>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</si>
  <si>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</si>
  <si>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</si>
  <si>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</si>
  <si>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</si>
  <si>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</si>
  <si>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</si>
  <si>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</si>
  <si>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</si>
  <si>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</si>
  <si>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</si>
  <si>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</si>
  <si>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</si>
  <si>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</si>
  <si>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</si>
  <si>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</si>
  <si>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Office Table</t>
  </si>
  <si>
    <t>Computer and Printers</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</si>
  <si>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</si>
  <si>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</si>
  <si>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</si>
  <si>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</si>
  <si>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</si>
  <si>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</si>
  <si>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</si>
  <si>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</si>
  <si>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</si>
  <si>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</si>
  <si>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</si>
  <si>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</si>
  <si>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</si>
  <si>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</si>
  <si>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</si>
  <si>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</si>
  <si>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</si>
  <si>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</si>
  <si>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</si>
  <si>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</si>
  <si>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</si>
  <si>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</si>
  <si>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</si>
  <si>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</si>
  <si>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</si>
  <si>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</si>
  <si>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</si>
  <si>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</si>
  <si>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</si>
  <si>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</si>
  <si>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</si>
  <si>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</si>
  <si>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</si>
  <si>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</si>
  <si>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</si>
  <si>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2 TPH</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</si>
  <si>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</si>
  <si>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</si>
  <si>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</si>
  <si>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</si>
  <si>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</si>
  <si>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</si>
  <si>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</si>
  <si>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</si>
  <si>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</si>
  <si>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</si>
  <si>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</si>
  <si>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</si>
  <si>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</si>
  <si>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</si>
  <si>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Avg. Return on Capital Employed Average (ROCE)</t>
  </si>
  <si>
    <t>Internal Rate of Return (IRR)</t>
  </si>
  <si>
    <t>Net present value (at a discount rate of 10 per cent)</t>
  </si>
  <si>
    <t>Payback period</t>
  </si>
  <si>
    <t>Debt Service Coverage Ratio (DSCR)</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</si>
  <si>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</si>
  <si>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</si>
  <si>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</si>
  <si>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</si>
  <si>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</si>
  <si>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</si>
  <si>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</si>
  <si>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</si>
  <si>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</si>
  <si>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</si>
  <si>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</si>
  <si>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</si>
  <si>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</si>
  <si>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</si>
  <si>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</si>
  <si>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</si>
  <si>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</si>
  <si>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</si>
  <si>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</si>
  <si>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</si>
  <si>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</si>
  <si>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</si>
  <si>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</si>
  <si>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</si>
  <si>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</si>
  <si>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</si>
  <si>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</si>
  <si>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</si>
  <si>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</si>
  <si>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</si>
  <si>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</si>
  <si>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</si>
  <si>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</si>
  <si>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</si>
  <si>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</si>
  <si>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</si>
  <si>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</si>
  <si>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</si>
  <si>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</si>
  <si>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</si>
  <si>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</si>
  <si>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</si>
  <si>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</si>
  <si>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</si>
  <si>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</si>
  <si>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</si>
  <si>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</si>
  <si>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</si>
  <si>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</si>
  <si>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</si>
  <si>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</si>
  <si>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</si>
  <si>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</si>
  <si>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</si>
  <si>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</si>
  <si>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</si>
  <si>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</si>
  <si>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Packaging (In Kg)</t>
  </si>
  <si>
    <t>Cultivation In (%)</t>
  </si>
  <si>
    <t>Consuption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</si>
  <si>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</si>
  <si>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</si>
  <si>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</si>
  <si>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</si>
  <si>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</si>
  <si>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</si>
  <si>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</si>
  <si>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</si>
  <si>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</si>
  <si>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</si>
  <si>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</si>
  <si>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</si>
  <si>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</si>
  <si>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</si>
  <si>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</si>
  <si>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</si>
  <si>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</si>
  <si>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</si>
  <si>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</si>
  <si>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</si>
  <si>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</si>
  <si>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</si>
  <si>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</si>
  <si>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</si>
  <si>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</si>
  <si>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</si>
  <si>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</si>
  <si>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</si>
  <si>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</si>
  <si>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</si>
  <si>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</si>
  <si>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</si>
  <si>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</si>
  <si>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</si>
  <si>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</si>
  <si>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</si>
  <si>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</si>
  <si>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</si>
  <si>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</si>
  <si>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</si>
  <si>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</si>
  <si>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</si>
  <si>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</si>
  <si>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</si>
  <si>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</si>
  <si>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</si>
  <si>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</si>
  <si>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</si>
  <si>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</si>
  <si>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</si>
  <si>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</si>
  <si>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</si>
  <si>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</si>
  <si>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</si>
  <si>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</si>
  <si>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</si>
  <si>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</si>
  <si>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</si>
  <si>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</si>
  <si>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Grains Crop Production Details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</si>
  <si>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</si>
  <si>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</si>
  <si>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</si>
  <si>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</si>
  <si>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</si>
  <si>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</si>
  <si>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</si>
  <si>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</si>
  <si>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</si>
  <si>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</si>
  <si>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</si>
  <si>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</si>
  <si>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</si>
  <si>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</si>
  <si>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</si>
  <si>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</si>
  <si>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</si>
  <si>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</si>
  <si>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</si>
  <si>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</si>
  <si>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</si>
  <si>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</si>
  <si>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</si>
  <si>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</si>
  <si>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</si>
  <si>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</si>
  <si>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</si>
  <si>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</si>
  <si>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</si>
  <si>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</si>
  <si>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</si>
  <si>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</si>
  <si>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</si>
  <si>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</si>
  <si>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</si>
  <si>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</si>
  <si>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</si>
  <si>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</si>
  <si>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</si>
  <si>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</si>
  <si>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</si>
  <si>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</si>
  <si>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</si>
  <si>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</si>
  <si>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</si>
  <si>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</si>
  <si>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</si>
  <si>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</si>
  <si>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</si>
  <si>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</si>
  <si>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</si>
  <si>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</si>
  <si>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</si>
  <si>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</si>
  <si>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</si>
  <si>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</si>
  <si>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</si>
  <si>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</si>
  <si>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</si>
  <si>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</si>
  <si>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</si>
  <si>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</si>
  <si>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</si>
  <si>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</si>
  <si>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</si>
  <si>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</si>
  <si>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</si>
  <si>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</si>
  <si>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</si>
  <si>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</si>
  <si>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</si>
  <si>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</si>
  <si>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</si>
  <si>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</si>
  <si>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</si>
  <si>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</si>
  <si>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</si>
  <si>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</si>
  <si>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</si>
  <si>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</si>
  <si>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</si>
  <si>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</si>
  <si>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</si>
  <si>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</si>
  <si>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</si>
  <si>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</si>
  <si>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</si>
  <si>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</si>
  <si>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</si>
  <si>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</si>
  <si>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</si>
  <si>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</si>
  <si>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</si>
  <si>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</si>
  <si>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</si>
  <si>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</si>
  <si>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Financial ratio</t>
  </si>
  <si>
    <t>Estimated</t>
  </si>
  <si>
    <t>Result</t>
  </si>
  <si>
    <t>Permissible limit</t>
  </si>
  <si>
    <t xml:space="preserve">With a discount rate of 10% and a span of 7 operational years, the NPV should be positive </t>
  </si>
  <si>
    <t xml:space="preserve">The project internal rate of return shall be more than 12% </t>
  </si>
  <si>
    <t>DSCR shall be more than 2 for better performing project.</t>
  </si>
  <si>
    <t xml:space="preserve">1.0 About the calculator </t>
  </si>
  <si>
    <t xml:space="preserve">2.0 Features </t>
  </si>
  <si>
    <t>Steps</t>
  </si>
  <si>
    <t>Sheet No</t>
  </si>
  <si>
    <t>Remark</t>
  </si>
  <si>
    <t>Step-1</t>
  </si>
  <si>
    <t>Grain production details &amp; or F &amp; V production details  (Marketable surplus)</t>
  </si>
  <si>
    <t>Step-2</t>
  </si>
  <si>
    <t xml:space="preserve">CAPEX Details </t>
  </si>
  <si>
    <t>Step-3</t>
  </si>
  <si>
    <t>Other expenditure and taxes</t>
  </si>
  <si>
    <t>Step-4</t>
  </si>
  <si>
    <t xml:space="preserve">Facility-1 / Business activity -Trading </t>
  </si>
  <si>
    <t xml:space="preserve">Facility-2 / Business activity - Processing (Grain, pulses, oilseed) </t>
  </si>
  <si>
    <t>Facility-3 Business activity -Warehouse</t>
  </si>
  <si>
    <t xml:space="preserve">Facility-4 Business activity -Custom hiring </t>
  </si>
  <si>
    <t>Facility-5 Business activity - Agri. Input</t>
  </si>
  <si>
    <t>Facility-6 Business activity -Processing  (Horti. Produce)</t>
  </si>
  <si>
    <t>Step-5</t>
  </si>
  <si>
    <t>Step-6</t>
  </si>
  <si>
    <t xml:space="preserve">Closing stock and working capital </t>
  </si>
  <si>
    <t>Profit and Loss Statement</t>
  </si>
  <si>
    <t>Cash Flow Statement</t>
  </si>
  <si>
    <t>Balance Sheet</t>
  </si>
  <si>
    <t>Financial indicators  (IRR, BEP,NPV, ROI, Pay back period, DSCR, sensitivity analysis )</t>
  </si>
  <si>
    <t>Colour code</t>
  </si>
  <si>
    <t>Step-7</t>
  </si>
  <si>
    <t xml:space="preserve">4.0 Colour codes used </t>
  </si>
  <si>
    <t xml:space="preserve">5.0 Guidance  note for using calculator </t>
  </si>
  <si>
    <t xml:space="preserve">Draft Business Plan Financial Calculator </t>
  </si>
  <si>
    <t>Project cost and Means of finance with financial indicators</t>
  </si>
  <si>
    <t xml:space="preserve">Generate automatically </t>
  </si>
  <si>
    <t>Bank Loan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</si>
  <si>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</si>
  <si>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</si>
  <si>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</si>
  <si>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</si>
  <si>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</si>
  <si>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</si>
  <si>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</si>
  <si>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</si>
  <si>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</si>
  <si>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</si>
  <si>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</si>
  <si>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</si>
  <si>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</si>
  <si>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</si>
  <si>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</si>
  <si>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</si>
  <si>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</si>
  <si>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</si>
  <si>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</si>
  <si>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</si>
  <si>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</si>
  <si>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</si>
  <si>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</si>
  <si>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</si>
  <si>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</si>
  <si>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</si>
  <si>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</si>
  <si>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</si>
  <si>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</si>
  <si>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</si>
  <si>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</si>
  <si>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</si>
  <si>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</si>
  <si>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Sheet No. 3 (3.2 &amp; 3.3)</t>
  </si>
  <si>
    <t>Step-8</t>
  </si>
  <si>
    <t xml:space="preserve">Copy relevant tables in word file of FPP </t>
  </si>
  <si>
    <t>1.0 It helps in preparing financial projections for both type of sub-projects.i.e. Grain and Fruits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 that will helps to understand the project feasible or not</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</si>
  <si>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</si>
  <si>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</si>
  <si>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</si>
  <si>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</si>
  <si>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Sheet no.3 (Ref. 3.1 table only)</t>
  </si>
  <si>
    <t xml:space="preserve">RoCE  for the project shall be more than 12% </t>
  </si>
  <si>
    <t xml:space="preserve">The Pack Back Period (Project/ Equity) shall be less than 5 years </t>
  </si>
  <si>
    <t>NPV is high and positive at a conservative project life of 5 years</t>
  </si>
  <si>
    <t>Preliminary expenses are considered as prior expenses before the beginning of business or Projects. The eligible amount is 5% of te project cost. Minimum amount is Rs.500000/- and maximum amount is Rs.2000000/-</t>
  </si>
  <si>
    <t>Lease or owned</t>
  </si>
  <si>
    <t>Depriciation percent</t>
  </si>
  <si>
    <t>Depriciation percent as per IT Act</t>
  </si>
  <si>
    <t>Increase in account rpayable</t>
  </si>
  <si>
    <t>Increase in account Receivable</t>
  </si>
  <si>
    <t>Increase in Closing Stock</t>
  </si>
  <si>
    <t>Incease in Short Term Loan</t>
  </si>
  <si>
    <t xml:space="preserve">3.1 Schedule of General Admin Expenses (Fixed) </t>
  </si>
  <si>
    <t>Note</t>
  </si>
  <si>
    <t>The above sheet is indicative for any type of processing business of grain commodities  . The FPO has to fill the sheet logically and as per selected commodities and finish products</t>
  </si>
  <si>
    <t>The above sheet is indicative for any type of processing business of F &amp; V commodities . The FPO has to fill the sheet logically and as per selected commodities and finish products</t>
  </si>
  <si>
    <t>acre</t>
  </si>
  <si>
    <t>Seeds requirement per acre (in kg)</t>
  </si>
  <si>
    <t>seed requirement /acre</t>
  </si>
  <si>
    <t>Fert. Req. per kg.</t>
  </si>
  <si>
    <t>Fertilizers requirment  (in kg)</t>
  </si>
  <si>
    <t>Pesticide requirement  (lit)</t>
  </si>
  <si>
    <t>Rate/kg</t>
  </si>
  <si>
    <t>Rate/lit</t>
  </si>
  <si>
    <t xml:space="preserve">Revenue from selling to farmers </t>
  </si>
  <si>
    <t>FPC purchage rate</t>
  </si>
  <si>
    <t xml:space="preserve">Own Contribution (=Fixed Assets*20%)+Working Capital ) </t>
  </si>
  <si>
    <t>Bank Finance - Long Term Loan (= Total Project Cost- Smart Grant - Own Contribution)</t>
  </si>
  <si>
    <t xml:space="preserve">As Finished Product and  size of Packaging is not confirmed/certain, therefore we can not add formula in processing sheet </t>
  </si>
  <si>
    <t>if it is related to salary it should multiply by 12 months.</t>
  </si>
  <si>
    <t xml:space="preserve">BEP shall be less than 50% </t>
  </si>
  <si>
    <t>Security</t>
  </si>
  <si>
    <t>Combine Harvester</t>
  </si>
  <si>
    <t xml:space="preserve">Construction of Warehouse </t>
  </si>
  <si>
    <t>Construction of machinery shed</t>
  </si>
  <si>
    <t>Sq. Mtrs.</t>
  </si>
  <si>
    <t>Combine Grain Harvestar</t>
  </si>
  <si>
    <t>Verticle Bucket Elevator</t>
  </si>
  <si>
    <t>Seed Grader cum Fine Cleaner</t>
  </si>
  <si>
    <t>Gravity Separator Machine for Size with hopper</t>
  </si>
  <si>
    <t>Mudball/Magnetic Seperator 1200 mm</t>
  </si>
  <si>
    <t>Extra Sieve</t>
  </si>
  <si>
    <t>GST @ 18%</t>
  </si>
  <si>
    <t>Automatic Groundnut Shelling Unit</t>
  </si>
  <si>
    <t>Inclined Bucket Elevator 1 HP</t>
  </si>
  <si>
    <t>Vaccum Destoner with Sand &amp; Duct 10 HP</t>
  </si>
  <si>
    <t>Water Spraying Machine 2 HP</t>
  </si>
  <si>
    <t>Large Decorticator 10 HP</t>
  </si>
  <si>
    <t>Small Decorticator 2 HP</t>
  </si>
  <si>
    <t>Lifter 0.5 HP</t>
  </si>
  <si>
    <t>Seed Seperator  1.5 HP</t>
  </si>
  <si>
    <t>Round Grader 2 HP</t>
  </si>
  <si>
    <t>Seed Separtor Counting Machine  1.5 HP</t>
  </si>
  <si>
    <t>Color Sorting Machine</t>
  </si>
  <si>
    <t>Installation</t>
  </si>
  <si>
    <t>Weighing Bridge</t>
  </si>
  <si>
    <t>50 MT Weighing Bridge</t>
  </si>
  <si>
    <t>Civil Estimation Prepartion</t>
  </si>
  <si>
    <t>DPR Prepartion</t>
  </si>
  <si>
    <t>Lease Deed</t>
  </si>
  <si>
    <t>Construction Supervision Charges</t>
  </si>
  <si>
    <t>Supervisor</t>
  </si>
  <si>
    <t xml:space="preserve">Facility 2 - Grain Processing &amp; Groundnut Shelling unit </t>
  </si>
  <si>
    <t>Insurance</t>
  </si>
  <si>
    <t>Interest on TL</t>
  </si>
</sst>
</file>

<file path=xl/styles.xml><?xml version="1.0" encoding="utf-8"?>
<styleSheet xmlns="http://schemas.openxmlformats.org/spreadsheetml/2006/main">
  <numFmts count="16">
    <numFmt numFmtId="43" formatCode="_(* #,##0.00_);_(* \(#,##0.00\);_(* &quot;-&quot;??_);_(@_)"/>
    <numFmt numFmtId="164" formatCode="_ * #,##0.00_ ;_ * \-#,##0.00_ ;_ * &quot;-&quot;??_ ;_ @_ "/>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 numFmtId="178" formatCode="_(* #,##0.0_);_(* \(#,##0.0\);_(* &quot;-&quot;??_);_(@_)"/>
  </numFmts>
  <fonts count="67">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b/>
      <sz val="24"/>
      <color theme="1"/>
      <name val="Calibri"/>
      <family val="2"/>
      <scheme val="minor"/>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2" fontId="1" fillId="0" borderId="0" applyFont="0" applyFill="0" applyBorder="0" applyAlignment="0" applyProtection="0"/>
    <xf numFmtId="164" fontId="18" fillId="0" borderId="0" applyFont="0" applyFill="0" applyBorder="0" applyAlignment="0" applyProtection="0"/>
  </cellStyleXfs>
  <cellXfs count="438">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3" fillId="0" borderId="0" xfId="0" applyFont="1"/>
    <xf numFmtId="0" fontId="4" fillId="0" borderId="0" xfId="0" applyFont="1"/>
    <xf numFmtId="0" fontId="0" fillId="0" borderId="1" xfId="0" applyBorder="1"/>
    <xf numFmtId="0" fontId="7" fillId="0" borderId="1" xfId="0" applyFont="1" applyBorder="1"/>
    <xf numFmtId="0" fontId="7" fillId="0" borderId="0" xfId="0" applyFont="1"/>
    <xf numFmtId="0" fontId="2" fillId="0" borderId="0" xfId="0" applyFont="1" applyAlignment="1">
      <alignment horizontal="center"/>
    </xf>
    <xf numFmtId="0" fontId="0" fillId="0" borderId="0" xfId="0" applyAlignment="1">
      <alignment horizontal="center"/>
    </xf>
    <xf numFmtId="4" fontId="0" fillId="0" borderId="0" xfId="0" applyNumberFormat="1"/>
    <xf numFmtId="166" fontId="0" fillId="0" borderId="0" xfId="0" applyNumberFormat="1"/>
    <xf numFmtId="166" fontId="0" fillId="0" borderId="0" xfId="3" applyFont="1"/>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169" fontId="0" fillId="0" borderId="1" xfId="2" applyNumberFormat="1" applyFont="1" applyBorder="1"/>
    <xf numFmtId="0" fontId="14" fillId="0" borderId="0" xfId="0" applyFont="1"/>
    <xf numFmtId="164" fontId="0" fillId="0" borderId="0" xfId="0" applyNumberFormat="1"/>
    <xf numFmtId="167" fontId="17" fillId="0" borderId="0" xfId="0" applyNumberFormat="1" applyFont="1"/>
    <xf numFmtId="38" fontId="14" fillId="0" borderId="0" xfId="0" applyNumberFormat="1" applyFont="1" applyAlignment="1">
      <alignment horizontal="left"/>
    </xf>
    <xf numFmtId="0" fontId="17" fillId="0" borderId="0" xfId="0" applyFont="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7" fontId="17" fillId="0" borderId="0" xfId="3" applyNumberFormat="1" applyFont="1" applyFill="1" applyBorder="1"/>
    <xf numFmtId="0" fontId="14" fillId="0" borderId="11" xfId="0" applyFont="1" applyBorder="1"/>
    <xf numFmtId="0" fontId="6" fillId="0" borderId="1" xfId="0" applyFont="1" applyBorder="1" applyAlignment="1">
      <alignment wrapText="1"/>
    </xf>
    <xf numFmtId="169" fontId="4" fillId="0" borderId="1" xfId="3" applyNumberFormat="1" applyFont="1" applyFill="1" applyBorder="1" applyAlignment="1">
      <alignment wrapText="1"/>
    </xf>
    <xf numFmtId="0" fontId="4" fillId="0" borderId="1" xfId="0" applyFont="1" applyBorder="1" applyAlignment="1">
      <alignment horizontal="left" wrapText="1"/>
    </xf>
    <xf numFmtId="169" fontId="6" fillId="0" borderId="1" xfId="3" applyNumberFormat="1" applyFont="1" applyFill="1" applyBorder="1" applyAlignment="1">
      <alignment wrapText="1"/>
    </xf>
    <xf numFmtId="0" fontId="4" fillId="0" borderId="1" xfId="0" applyFont="1" applyBorder="1" applyAlignment="1">
      <alignment wrapText="1"/>
    </xf>
    <xf numFmtId="0" fontId="4" fillId="0" borderId="1" xfId="0" applyFont="1" applyBorder="1" applyAlignment="1">
      <alignment horizontal="right" wrapText="1"/>
    </xf>
    <xf numFmtId="167" fontId="4" fillId="0" borderId="1" xfId="3" applyNumberFormat="1" applyFont="1" applyFill="1" applyBorder="1" applyAlignment="1">
      <alignment wrapText="1"/>
    </xf>
    <xf numFmtId="0" fontId="4" fillId="0" borderId="1" xfId="0" applyFont="1" applyBorder="1" applyAlignment="1">
      <alignment vertical="center" wrapText="1"/>
    </xf>
    <xf numFmtId="0" fontId="6" fillId="0" borderId="1" xfId="0" applyFont="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Border="1" applyAlignment="1">
      <alignment wrapText="1"/>
    </xf>
    <xf numFmtId="169" fontId="4" fillId="0" borderId="1" xfId="0" applyNumberFormat="1" applyFont="1" applyBorder="1" applyAlignment="1">
      <alignment wrapText="1"/>
    </xf>
    <xf numFmtId="0" fontId="6" fillId="0" borderId="1" xfId="0" applyFont="1" applyBorder="1" applyAlignment="1">
      <alignment horizontal="left" wrapText="1"/>
    </xf>
    <xf numFmtId="0" fontId="17" fillId="0" borderId="0" xfId="0" applyFont="1" applyAlignment="1">
      <alignment vertical="center"/>
    </xf>
    <xf numFmtId="0" fontId="14" fillId="0" borderId="0" xfId="0" applyFont="1" applyAlignment="1">
      <alignment vertical="center"/>
    </xf>
    <xf numFmtId="4" fontId="17" fillId="0" borderId="0" xfId="0" applyNumberFormat="1" applyFont="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169" fontId="0" fillId="0" borderId="15" xfId="2" applyNumberFormat="1" applyFont="1" applyBorder="1"/>
    <xf numFmtId="2" fontId="2" fillId="0" borderId="0" xfId="0" applyNumberFormat="1" applyFont="1"/>
    <xf numFmtId="167" fontId="14" fillId="0" borderId="0" xfId="0" applyNumberFormat="1" applyFont="1"/>
    <xf numFmtId="169" fontId="0" fillId="0" borderId="0" xfId="0" applyNumberFormat="1"/>
    <xf numFmtId="3" fontId="17" fillId="0" borderId="0" xfId="0" applyNumberFormat="1" applyFont="1" applyAlignment="1">
      <alignment vertical="center"/>
    </xf>
    <xf numFmtId="0" fontId="10" fillId="0" borderId="1" xfId="0" applyFont="1" applyBorder="1" applyAlignment="1">
      <alignment horizontal="center"/>
    </xf>
    <xf numFmtId="0" fontId="5" fillId="0" borderId="1" xfId="0" applyFont="1" applyBorder="1" applyAlignment="1">
      <alignment horizontal="center"/>
    </xf>
    <xf numFmtId="169" fontId="2" fillId="0" borderId="1" xfId="2" applyNumberFormat="1" applyFont="1" applyBorder="1" applyAlignment="1"/>
    <xf numFmtId="0" fontId="23"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Border="1"/>
    <xf numFmtId="171" fontId="4" fillId="0" borderId="1" xfId="10" applyNumberFormat="1" applyFont="1" applyFill="1" applyBorder="1"/>
    <xf numFmtId="0" fontId="6" fillId="0" borderId="1" xfId="0" applyFont="1" applyBorder="1"/>
    <xf numFmtId="171"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0" fillId="0" borderId="0" xfId="0" applyFont="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4" fontId="4" fillId="0" borderId="1" xfId="0" applyNumberFormat="1" applyFont="1" applyBorder="1"/>
    <xf numFmtId="175" fontId="4" fillId="0" borderId="1" xfId="2" applyNumberFormat="1" applyFont="1" applyBorder="1"/>
    <xf numFmtId="169" fontId="0" fillId="0" borderId="1" xfId="2" applyNumberFormat="1" applyFont="1" applyBorder="1" applyAlignment="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169" fontId="28" fillId="0" borderId="1" xfId="2" applyNumberFormat="1" applyFont="1" applyBorder="1" applyAlignment="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Border="1" applyAlignment="1">
      <alignment horizontal="center"/>
    </xf>
    <xf numFmtId="169" fontId="4" fillId="0" borderId="1" xfId="2" applyNumberFormat="1" applyFont="1" applyBorder="1" applyAlignment="1">
      <alignment horizontal="center"/>
    </xf>
    <xf numFmtId="0" fontId="0" fillId="0" borderId="1" xfId="0"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43" fontId="27" fillId="0" borderId="0" xfId="0" applyNumberFormat="1" applyFont="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Border="1" applyAlignment="1">
      <alignment vertical="center"/>
    </xf>
    <xf numFmtId="4" fontId="29" fillId="0" borderId="1" xfId="3" applyNumberFormat="1" applyFont="1" applyFill="1" applyBorder="1" applyAlignment="1">
      <alignment vertical="center"/>
    </xf>
    <xf numFmtId="0" fontId="30" fillId="0" borderId="5" xfId="0" applyFont="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Border="1" applyAlignment="1">
      <alignment horizontal="left" vertical="center"/>
    </xf>
    <xf numFmtId="0" fontId="30" fillId="0" borderId="5" xfId="0" applyFont="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Border="1" applyAlignment="1">
      <alignment vertical="center"/>
    </xf>
    <xf numFmtId="0" fontId="6" fillId="0" borderId="5" xfId="0" applyFont="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Border="1" applyAlignment="1">
      <alignment vertical="center"/>
    </xf>
    <xf numFmtId="0" fontId="34" fillId="0" borderId="5" xfId="0" applyFont="1" applyBorder="1" applyAlignment="1">
      <alignment vertical="center"/>
    </xf>
    <xf numFmtId="4" fontId="35" fillId="0" borderId="1" xfId="0" applyNumberFormat="1" applyFont="1" applyBorder="1" applyAlignment="1">
      <alignment vertical="center"/>
    </xf>
    <xf numFmtId="0" fontId="36" fillId="0" borderId="5" xfId="0" applyFont="1" applyBorder="1" applyAlignment="1">
      <alignment vertical="center"/>
    </xf>
    <xf numFmtId="4" fontId="36" fillId="0" borderId="1" xfId="9" applyNumberFormat="1" applyFont="1" applyFill="1" applyBorder="1" applyAlignment="1">
      <alignment vertical="center"/>
    </xf>
    <xf numFmtId="0" fontId="36" fillId="0" borderId="6" xfId="0" applyFont="1" applyBorder="1" applyAlignment="1">
      <alignment vertical="center"/>
    </xf>
    <xf numFmtId="4" fontId="36" fillId="0" borderId="7" xfId="0" applyNumberFormat="1" applyFont="1" applyBorder="1" applyAlignment="1">
      <alignment vertical="center"/>
    </xf>
    <xf numFmtId="0" fontId="21" fillId="2" borderId="1" xfId="0" applyFont="1" applyFill="1" applyBorder="1"/>
    <xf numFmtId="0" fontId="15" fillId="0" borderId="0" xfId="6" applyFont="1" applyAlignment="1">
      <alignment horizontal="center"/>
    </xf>
    <xf numFmtId="0" fontId="15" fillId="0" borderId="0" xfId="6" applyFo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6" fillId="2" borderId="1" xfId="0" applyFont="1" applyFill="1" applyBorder="1"/>
    <xf numFmtId="0" fontId="38" fillId="0" borderId="1" xfId="0" applyFont="1" applyBorder="1"/>
    <xf numFmtId="0" fontId="39" fillId="0" borderId="1" xfId="0" applyFont="1" applyBorder="1" applyAlignment="1">
      <alignment horizontal="center"/>
    </xf>
    <xf numFmtId="0" fontId="27" fillId="0" borderId="1" xfId="0" applyFont="1" applyBorder="1" applyAlignment="1">
      <alignment horizontal="left"/>
    </xf>
    <xf numFmtId="0" fontId="6" fillId="0" borderId="1" xfId="0" applyFont="1" applyBorder="1" applyAlignment="1">
      <alignment horizontal="left"/>
    </xf>
    <xf numFmtId="167" fontId="29" fillId="0" borderId="1" xfId="0" applyNumberFormat="1" applyFont="1" applyBorder="1"/>
    <xf numFmtId="0" fontId="21" fillId="2" borderId="1" xfId="8" applyFont="1" applyFill="1" applyBorder="1" applyAlignment="1" applyProtection="1"/>
    <xf numFmtId="0" fontId="6" fillId="0" borderId="1" xfId="0" applyFont="1" applyBorder="1" applyAlignment="1">
      <alignment horizontal="center"/>
    </xf>
    <xf numFmtId="0" fontId="27" fillId="0" borderId="0" xfId="0" applyFont="1" applyAlignment="1">
      <alignment horizontal="left"/>
    </xf>
    <xf numFmtId="167" fontId="29" fillId="0" borderId="0" xfId="0" applyNumberFormat="1" applyFont="1"/>
    <xf numFmtId="0" fontId="6" fillId="3" borderId="0" xfId="0" applyFont="1" applyFill="1" applyAlignment="1">
      <alignment horizontal="left" wrapText="1"/>
    </xf>
    <xf numFmtId="0" fontId="6" fillId="0" borderId="0" xfId="0" applyFont="1" applyAlignment="1">
      <alignment horizontal="center"/>
    </xf>
    <xf numFmtId="0" fontId="6" fillId="0" borderId="0" xfId="0" applyFont="1"/>
    <xf numFmtId="0" fontId="6" fillId="0" borderId="0" xfId="0" applyFont="1" applyAlignment="1">
      <alignment wrapText="1"/>
    </xf>
    <xf numFmtId="10" fontId="27" fillId="0" borderId="0" xfId="0" applyNumberFormat="1" applyFont="1"/>
    <xf numFmtId="0" fontId="27" fillId="0" borderId="0" xfId="0" applyFont="1" applyAlignment="1">
      <alignment wrapText="1"/>
    </xf>
    <xf numFmtId="9" fontId="27" fillId="0" borderId="0" xfId="0" applyNumberFormat="1" applyFont="1"/>
    <xf numFmtId="10" fontId="4" fillId="0" borderId="0" xfId="1" applyNumberFormat="1" applyFont="1" applyBorder="1"/>
    <xf numFmtId="9" fontId="27" fillId="0" borderId="0" xfId="1" applyFont="1"/>
    <xf numFmtId="166" fontId="27" fillId="0" borderId="0" xfId="0" applyNumberFormat="1" applyFont="1"/>
    <xf numFmtId="164" fontId="27" fillId="0" borderId="0" xfId="0" applyNumberFormat="1" applyFont="1"/>
    <xf numFmtId="1" fontId="27" fillId="0" borderId="0" xfId="0" applyNumberFormat="1" applyFont="1"/>
    <xf numFmtId="9" fontId="27" fillId="0" borderId="1" xfId="0" applyNumberFormat="1" applyFont="1" applyBorder="1"/>
    <xf numFmtId="164"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167" fontId="27" fillId="0" borderId="1" xfId="0" applyNumberFormat="1" applyFont="1" applyBorder="1"/>
    <xf numFmtId="167" fontId="28" fillId="0" borderId="1" xfId="3" applyNumberFormat="1" applyFont="1" applyBorder="1"/>
    <xf numFmtId="167" fontId="28" fillId="0" borderId="1" xfId="0" applyNumberFormat="1" applyFont="1" applyBorder="1"/>
    <xf numFmtId="169" fontId="27" fillId="0" borderId="1" xfId="0" applyNumberFormat="1" applyFont="1" applyBorder="1"/>
    <xf numFmtId="167" fontId="27" fillId="0" borderId="1" xfId="3" applyNumberFormat="1" applyFont="1" applyFill="1" applyBorder="1"/>
    <xf numFmtId="167" fontId="27" fillId="0" borderId="0" xfId="0" applyNumberFormat="1" applyFont="1"/>
    <xf numFmtId="169" fontId="27" fillId="0" borderId="16" xfId="2" applyNumberFormat="1" applyFont="1" applyBorder="1"/>
    <xf numFmtId="169" fontId="28" fillId="0" borderId="1" xfId="2" applyNumberFormat="1" applyFont="1" applyBorder="1" applyAlignment="1">
      <alignment wrapText="1"/>
    </xf>
    <xf numFmtId="0" fontId="26" fillId="0" borderId="0" xfId="0" applyFont="1"/>
    <xf numFmtId="165"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Border="1" applyAlignment="1">
      <alignment vertical="center" wrapText="1"/>
    </xf>
    <xf numFmtId="169"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7" fontId="42" fillId="0" borderId="1" xfId="3" applyNumberFormat="1" applyFont="1" applyFill="1" applyBorder="1" applyAlignment="1">
      <alignment horizontal="right" vertical="center" wrapText="1"/>
    </xf>
    <xf numFmtId="167" fontId="28" fillId="0" borderId="1" xfId="3" applyNumberFormat="1" applyFont="1" applyBorder="1" applyAlignment="1">
      <alignment horizontal="right" vertical="center" wrapText="1"/>
    </xf>
    <xf numFmtId="0" fontId="29" fillId="6" borderId="1" xfId="0" applyFont="1" applyFill="1" applyBorder="1" applyAlignment="1">
      <alignment horizontal="left" vertical="center" wrapText="1"/>
    </xf>
    <xf numFmtId="0" fontId="29" fillId="6" borderId="1" xfId="0" applyFont="1" applyFill="1" applyBorder="1" applyAlignment="1">
      <alignment horizontal="center" vertical="center" wrapText="1"/>
    </xf>
    <xf numFmtId="166" fontId="29" fillId="6" borderId="1" xfId="3" applyFont="1" applyFill="1" applyBorder="1" applyAlignment="1">
      <alignment horizontal="right" vertical="center" wrapText="1"/>
    </xf>
    <xf numFmtId="169" fontId="29" fillId="6" borderId="1" xfId="2" applyNumberFormat="1" applyFont="1" applyFill="1" applyBorder="1" applyAlignment="1">
      <alignment horizontal="left" vertical="center" wrapText="1"/>
    </xf>
    <xf numFmtId="169" fontId="29" fillId="6" borderId="1" xfId="2" applyNumberFormat="1" applyFont="1" applyFill="1" applyBorder="1" applyAlignment="1">
      <alignment vertical="center" wrapText="1"/>
    </xf>
    <xf numFmtId="169" fontId="29" fillId="6" borderId="1" xfId="2" applyNumberFormat="1" applyFont="1" applyFill="1" applyBorder="1" applyAlignment="1">
      <alignment horizontal="right" vertical="center" wrapText="1"/>
    </xf>
    <xf numFmtId="0" fontId="27" fillId="6" borderId="1" xfId="0" applyFont="1" applyFill="1" applyBorder="1"/>
    <xf numFmtId="167"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69" fontId="42" fillId="6" borderId="1" xfId="2" applyNumberFormat="1" applyFont="1" applyFill="1" applyBorder="1" applyAlignment="1">
      <alignment horizontal="right" vertical="center" wrapText="1"/>
    </xf>
    <xf numFmtId="0" fontId="28" fillId="6" borderId="1" xfId="0" applyFont="1" applyFill="1" applyBorder="1"/>
    <xf numFmtId="167"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7" fontId="12" fillId="6" borderId="1" xfId="3" applyNumberFormat="1" applyFont="1" applyFill="1" applyBorder="1" applyAlignment="1">
      <alignment horizontal="center" vertical="center" wrapText="1"/>
    </xf>
    <xf numFmtId="167" fontId="12" fillId="6" borderId="1" xfId="3" applyNumberFormat="1" applyFont="1" applyFill="1" applyBorder="1" applyAlignment="1">
      <alignment horizontal="right" vertical="center" wrapText="1"/>
    </xf>
    <xf numFmtId="167" fontId="41" fillId="6" borderId="1" xfId="3" applyNumberFormat="1" applyFont="1" applyFill="1" applyBorder="1" applyAlignment="1">
      <alignment horizontal="center" vertical="center" wrapText="1"/>
    </xf>
    <xf numFmtId="167" fontId="41" fillId="6" borderId="10" xfId="3" applyNumberFormat="1" applyFont="1" applyFill="1" applyBorder="1" applyAlignment="1">
      <alignment horizontal="right" vertical="center" wrapText="1"/>
    </xf>
    <xf numFmtId="167" fontId="42"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69" fontId="27" fillId="6" borderId="1" xfId="2" applyNumberFormat="1" applyFont="1" applyFill="1" applyBorder="1"/>
    <xf numFmtId="167" fontId="27" fillId="6" borderId="1" xfId="3" applyNumberFormat="1" applyFont="1" applyFill="1" applyBorder="1"/>
    <xf numFmtId="0" fontId="27" fillId="6" borderId="1" xfId="0" applyFont="1" applyFill="1" applyBorder="1" applyAlignment="1">
      <alignment wrapText="1"/>
    </xf>
    <xf numFmtId="169" fontId="27" fillId="6" borderId="1" xfId="2" applyNumberFormat="1" applyFont="1" applyFill="1" applyBorder="1" applyAlignment="1">
      <alignment wrapText="1"/>
    </xf>
    <xf numFmtId="169" fontId="28" fillId="6" borderId="1" xfId="2" applyNumberFormat="1" applyFont="1" applyFill="1" applyBorder="1"/>
    <xf numFmtId="166" fontId="27" fillId="6" borderId="0" xfId="0" applyNumberFormat="1" applyFont="1" applyFill="1"/>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4" fontId="27" fillId="0" borderId="0" xfId="0" applyNumberFormat="1" applyFont="1"/>
    <xf numFmtId="169" fontId="0" fillId="0" borderId="1" xfId="0" applyNumberForma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169"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Font="1" applyFill="1"/>
    <xf numFmtId="9" fontId="27" fillId="7" borderId="1" xfId="0" applyNumberFormat="1" applyFont="1" applyFill="1" applyBorder="1"/>
    <xf numFmtId="0" fontId="28" fillId="7" borderId="1" xfId="0" applyFont="1" applyFill="1" applyBorder="1"/>
    <xf numFmtId="167"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167" fontId="27" fillId="0" borderId="1" xfId="1" applyNumberFormat="1" applyFont="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Border="1" applyAlignment="1">
      <alignment wrapText="1"/>
    </xf>
    <xf numFmtId="170" fontId="0" fillId="0" borderId="0" xfId="0" applyNumberFormat="1"/>
    <xf numFmtId="169" fontId="27" fillId="0" borderId="0" xfId="2" applyNumberFormat="1" applyFont="1" applyBorder="1"/>
    <xf numFmtId="0" fontId="54" fillId="5" borderId="1" xfId="0" applyFont="1" applyFill="1" applyBorder="1" applyAlignment="1">
      <alignment horizontal="center"/>
    </xf>
    <xf numFmtId="0" fontId="54" fillId="0" borderId="0" xfId="0" applyFont="1" applyAlignment="1">
      <alignment horizontal="center"/>
    </xf>
    <xf numFmtId="1" fontId="0" fillId="0" borderId="0" xfId="0" applyNumberFormat="1"/>
    <xf numFmtId="169" fontId="2" fillId="0" borderId="0" xfId="2" applyNumberFormat="1" applyFont="1" applyFill="1" applyBorder="1"/>
    <xf numFmtId="1" fontId="27" fillId="0" borderId="1" xfId="0" applyNumberFormat="1" applyFont="1" applyBorder="1"/>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9" fontId="0" fillId="0" borderId="1" xfId="0" applyNumberFormat="1" applyBorder="1"/>
    <xf numFmtId="0" fontId="27" fillId="7" borderId="1" xfId="0"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8" fillId="0" borderId="1" xfId="0" applyFont="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2" fillId="0" borderId="0" xfId="0" applyFont="1"/>
    <xf numFmtId="0" fontId="30" fillId="5" borderId="1" xfId="0" applyFont="1" applyFill="1" applyBorder="1"/>
    <xf numFmtId="9" fontId="58" fillId="7" borderId="1" xfId="0" applyNumberFormat="1" applyFont="1" applyFill="1" applyBorder="1"/>
    <xf numFmtId="170" fontId="58" fillId="7" borderId="1" xfId="0" applyNumberFormat="1" applyFont="1" applyFill="1" applyBorder="1"/>
    <xf numFmtId="0" fontId="57" fillId="0" borderId="0" xfId="0" applyFont="1"/>
    <xf numFmtId="171"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7" fontId="44" fillId="0" borderId="1" xfId="3" applyNumberFormat="1" applyFont="1" applyFill="1" applyBorder="1" applyAlignment="1">
      <alignment horizontal="right" vertical="center" wrapText="1"/>
    </xf>
    <xf numFmtId="167"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69" fontId="44" fillId="0" borderId="1" xfId="2" applyNumberFormat="1" applyFont="1" applyBorder="1" applyAlignment="1">
      <alignment vertical="center" wrapText="1"/>
    </xf>
    <xf numFmtId="9" fontId="60" fillId="7" borderId="1" xfId="0" applyNumberFormat="1" applyFont="1" applyFill="1" applyBorder="1"/>
    <xf numFmtId="169" fontId="60" fillId="0" borderId="1" xfId="0" applyNumberFormat="1" applyFont="1" applyBorder="1"/>
    <xf numFmtId="0" fontId="60" fillId="0" borderId="1" xfId="0" applyFont="1" applyBorder="1"/>
    <xf numFmtId="169" fontId="59" fillId="0" borderId="1" xfId="2" applyNumberFormat="1" applyFont="1" applyBorder="1" applyAlignment="1">
      <alignment horizontal="center" vertical="center" wrapText="1"/>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9" xfId="0" applyFont="1" applyBorder="1" applyAlignment="1">
      <alignment horizontal="left" vertical="center" wrapText="1"/>
    </xf>
    <xf numFmtId="0" fontId="44" fillId="0" borderId="0" xfId="0" applyFont="1" applyAlignment="1">
      <alignment horizontal="left" vertical="center" wrapText="1"/>
    </xf>
    <xf numFmtId="0" fontId="44" fillId="0" borderId="1" xfId="0" applyFont="1" applyBorder="1" applyAlignment="1">
      <alignment horizontal="lef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9" fontId="44" fillId="7" borderId="1" xfId="1" applyFont="1" applyFill="1" applyBorder="1" applyAlignment="1">
      <alignment horizontal="right" vertical="center" wrapText="1"/>
    </xf>
    <xf numFmtId="9" fontId="44" fillId="0" borderId="1" xfId="3" applyNumberFormat="1" applyFont="1" applyFill="1" applyBorder="1" applyAlignment="1">
      <alignment horizontal="righ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10" fontId="4" fillId="0" borderId="0" xfId="1" applyNumberFormat="1" applyFont="1" applyFill="1" applyBorder="1"/>
    <xf numFmtId="0" fontId="27" fillId="0" borderId="1" xfId="0" applyFont="1" applyBorder="1" applyAlignment="1">
      <alignment vertical="center" wrapText="1"/>
    </xf>
    <xf numFmtId="169" fontId="27" fillId="0" borderId="0" xfId="0" applyNumberFormat="1" applyFont="1"/>
    <xf numFmtId="0" fontId="27" fillId="0" borderId="14" xfId="0" applyFont="1" applyBorder="1"/>
    <xf numFmtId="169" fontId="27" fillId="6" borderId="14" xfId="2" applyNumberFormat="1" applyFont="1" applyFill="1" applyBorder="1"/>
    <xf numFmtId="169" fontId="27" fillId="0" borderId="14" xfId="2" applyNumberFormat="1" applyFont="1" applyBorder="1"/>
    <xf numFmtId="9" fontId="44" fillId="0" borderId="1" xfId="1" applyFont="1" applyFill="1" applyBorder="1" applyAlignment="1">
      <alignment horizontal="right" vertical="center" wrapText="1"/>
    </xf>
    <xf numFmtId="0" fontId="0" fillId="0" borderId="2" xfId="0" applyBorder="1"/>
    <xf numFmtId="0" fontId="51" fillId="0" borderId="0" xfId="0" applyFont="1" applyAlignment="1">
      <alignment horizontal="center" wrapText="1"/>
    </xf>
    <xf numFmtId="169" fontId="29" fillId="6" borderId="20" xfId="2" applyNumberFormat="1" applyFont="1" applyFill="1" applyBorder="1" applyAlignment="1">
      <alignment vertical="center" wrapText="1"/>
    </xf>
    <xf numFmtId="0" fontId="12" fillId="6" borderId="1" xfId="0" applyFont="1" applyFill="1" applyBorder="1" applyAlignment="1">
      <alignment vertical="center"/>
    </xf>
    <xf numFmtId="0" fontId="12" fillId="6" borderId="1" xfId="0" applyFont="1" applyFill="1" applyBorder="1" applyAlignment="1">
      <alignment horizontal="right" vertical="center" wrapText="1"/>
    </xf>
    <xf numFmtId="3" fontId="12" fillId="6" borderId="1" xfId="0" applyNumberFormat="1" applyFont="1" applyFill="1" applyBorder="1" applyAlignment="1">
      <alignment horizontal="right" vertical="center" wrapText="1"/>
    </xf>
    <xf numFmtId="0" fontId="42" fillId="6" borderId="14" xfId="0" applyFont="1" applyFill="1" applyBorder="1" applyAlignment="1">
      <alignment horizontal="center" vertical="center" wrapText="1"/>
    </xf>
    <xf numFmtId="0" fontId="12" fillId="6" borderId="14" xfId="0" applyFont="1" applyFill="1" applyBorder="1" applyAlignment="1">
      <alignment vertical="center"/>
    </xf>
    <xf numFmtId="3" fontId="12" fillId="6" borderId="10" xfId="0" applyNumberFormat="1" applyFont="1" applyFill="1" applyBorder="1" applyAlignment="1">
      <alignment horizontal="right" vertical="center" wrapText="1"/>
    </xf>
    <xf numFmtId="178" fontId="27" fillId="6" borderId="1" xfId="2" applyNumberFormat="1" applyFont="1" applyFill="1" applyBorder="1"/>
    <xf numFmtId="169" fontId="27" fillId="0" borderId="2" xfId="2" applyNumberFormat="1" applyFont="1" applyFill="1" applyBorder="1"/>
    <xf numFmtId="0" fontId="61" fillId="10" borderId="1" xfId="0" applyFont="1" applyFill="1" applyBorder="1" applyAlignment="1">
      <alignment horizontal="left" vertical="center" wrapText="1"/>
    </xf>
    <xf numFmtId="0" fontId="62"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Border="1" applyAlignment="1">
      <alignment horizontal="center" vertical="center" wrapText="1"/>
    </xf>
    <xf numFmtId="0" fontId="0" fillId="0" borderId="16" xfId="0"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26" fillId="0" borderId="0" xfId="0" applyFont="1" applyAlignment="1">
      <alignment horizontal="center"/>
    </xf>
    <xf numFmtId="0" fontId="59" fillId="0" borderId="1" xfId="0" applyFont="1" applyBorder="1" applyAlignment="1">
      <alignment horizontal="center" vertical="center" wrapText="1"/>
    </xf>
    <xf numFmtId="0" fontId="2" fillId="0" borderId="0" xfId="0" applyFont="1" applyAlignment="1">
      <alignment horizontal="center"/>
    </xf>
    <xf numFmtId="0" fontId="51" fillId="0" borderId="0" xfId="0" applyFont="1" applyAlignment="1">
      <alignment horizontal="center" wrapText="1"/>
    </xf>
    <xf numFmtId="0" fontId="28"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6" borderId="1" xfId="0" applyFont="1" applyFill="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left"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37" fillId="0" borderId="0" xfId="6" applyFont="1" applyAlignment="1">
      <alignment horizontal="center"/>
    </xf>
    <xf numFmtId="0" fontId="14" fillId="0" borderId="0" xfId="0" applyFont="1" applyAlignment="1">
      <alignment horizontal="center" vertical="center" wrapText="1"/>
    </xf>
    <xf numFmtId="0" fontId="15" fillId="0" borderId="0" xfId="6" applyFont="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53" fillId="0" borderId="0" xfId="0" applyFont="1" applyAlignment="1">
      <alignment horizontal="center" wrapText="1"/>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Border="1" applyAlignment="1">
      <alignment horizontal="center" wrapText="1"/>
    </xf>
    <xf numFmtId="0" fontId="13"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57" fillId="0" borderId="0" xfId="0" applyFont="1" applyAlignment="1">
      <alignment horizontal="center" wrapText="1"/>
    </xf>
    <xf numFmtId="0" fontId="25" fillId="0" borderId="12" xfId="0" applyFont="1" applyBorder="1" applyAlignment="1">
      <alignment horizontal="center"/>
    </xf>
    <xf numFmtId="0" fontId="25" fillId="0" borderId="13" xfId="0" applyFont="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Border="1" applyAlignment="1">
      <alignment horizontal="center"/>
    </xf>
    <xf numFmtId="0" fontId="37" fillId="0" borderId="21" xfId="0" applyFont="1" applyBorder="1" applyAlignment="1">
      <alignment horizontal="center"/>
    </xf>
    <xf numFmtId="0" fontId="37" fillId="0" borderId="16" xfId="0" applyFont="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Border="1" applyAlignment="1">
      <alignment horizontal="center"/>
    </xf>
    <xf numFmtId="0" fontId="15" fillId="0" borderId="21" xfId="0" applyFont="1" applyBorder="1" applyAlignment="1">
      <alignment horizontal="center"/>
    </xf>
    <xf numFmtId="0" fontId="15" fillId="0" borderId="16" xfId="0" applyFont="1" applyBorder="1" applyAlignment="1">
      <alignment horizontal="center"/>
    </xf>
    <xf numFmtId="0" fontId="2" fillId="0" borderId="1" xfId="0" applyFont="1" applyBorder="1" applyAlignment="1">
      <alignment horizontal="center" vertical="center" wrapText="1"/>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Water/kRUSHIYUG/Krushiyug%20FPC.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2:E37"/>
  <sheetViews>
    <sheetView topLeftCell="A22" workbookViewId="0">
      <selection activeCell="B29" sqref="B29"/>
    </sheetView>
  </sheetViews>
  <sheetFormatPr defaultColWidth="9.140625" defaultRowHeight="15"/>
  <cols>
    <col min="1" max="1" width="12.85546875" style="322" customWidth="1"/>
    <col min="2" max="2" width="56" style="322" customWidth="1"/>
    <col min="3" max="3" width="31.42578125" style="322" customWidth="1"/>
    <col min="4" max="4" width="26.42578125" style="322" customWidth="1"/>
    <col min="5" max="5" width="29.42578125" style="322" customWidth="1"/>
    <col min="6" max="16384" width="9.140625" style="322"/>
  </cols>
  <sheetData>
    <row r="2" spans="1:5" ht="26.25" customHeight="1">
      <c r="A2" s="352" t="s">
        <v>643</v>
      </c>
      <c r="B2" s="352"/>
      <c r="C2" s="352"/>
      <c r="D2" s="352"/>
      <c r="E2" s="352"/>
    </row>
    <row r="3" spans="1:5" ht="26.25" customHeight="1">
      <c r="A3" s="353" t="s">
        <v>639</v>
      </c>
      <c r="B3" s="353"/>
      <c r="C3" s="353"/>
      <c r="D3" s="353"/>
      <c r="E3" s="353"/>
    </row>
    <row r="4" spans="1:5" ht="23.25" customHeight="1">
      <c r="A4" s="351" t="s">
        <v>610</v>
      </c>
      <c r="B4" s="351"/>
      <c r="C4" s="351"/>
      <c r="D4" s="351"/>
      <c r="E4" s="351"/>
    </row>
    <row r="5" spans="1:5" ht="240.75" customHeight="1">
      <c r="A5" s="354" t="s">
        <v>644</v>
      </c>
      <c r="B5" s="354"/>
      <c r="C5" s="354"/>
      <c r="D5" s="354"/>
      <c r="E5" s="354"/>
    </row>
    <row r="6" spans="1:5" ht="23.25" customHeight="1">
      <c r="A6" s="351" t="s">
        <v>611</v>
      </c>
      <c r="B6" s="351"/>
      <c r="C6" s="351"/>
      <c r="D6" s="351"/>
      <c r="E6" s="351"/>
    </row>
    <row r="7" spans="1:5" ht="108" customHeight="1">
      <c r="A7" s="361" t="s">
        <v>679</v>
      </c>
      <c r="B7" s="362"/>
      <c r="C7" s="362"/>
      <c r="D7" s="362"/>
      <c r="E7" s="363"/>
    </row>
    <row r="8" spans="1:5" ht="23.25" customHeight="1">
      <c r="A8" s="364" t="s">
        <v>645</v>
      </c>
      <c r="B8" s="364"/>
      <c r="C8" s="364"/>
      <c r="D8" s="364"/>
      <c r="E8" s="364"/>
    </row>
    <row r="9" spans="1:5" ht="105.75" customHeight="1">
      <c r="A9" s="354" t="s">
        <v>683</v>
      </c>
      <c r="B9" s="354"/>
      <c r="C9" s="354"/>
      <c r="D9" s="354"/>
      <c r="E9" s="354"/>
    </row>
    <row r="10" spans="1:5" ht="23.25">
      <c r="A10" s="351" t="s">
        <v>637</v>
      </c>
      <c r="B10" s="351"/>
      <c r="C10" s="351"/>
      <c r="D10" s="351"/>
      <c r="E10" s="351"/>
    </row>
    <row r="11" spans="1:5">
      <c r="A11" s="322" t="s">
        <v>635</v>
      </c>
      <c r="B11" s="322" t="s">
        <v>150</v>
      </c>
    </row>
    <row r="12" spans="1:5" ht="20.25" customHeight="1">
      <c r="A12" s="325"/>
      <c r="B12" s="365" t="s">
        <v>403</v>
      </c>
      <c r="C12" s="366"/>
      <c r="D12" s="366"/>
      <c r="E12" s="367"/>
    </row>
    <row r="13" spans="1:5">
      <c r="A13" s="326"/>
      <c r="B13" s="355" t="s">
        <v>404</v>
      </c>
      <c r="C13" s="355"/>
      <c r="D13" s="355"/>
      <c r="E13" s="355"/>
    </row>
    <row r="14" spans="1:5">
      <c r="A14" s="356"/>
      <c r="B14" s="356"/>
      <c r="C14" s="356"/>
      <c r="D14" s="356"/>
      <c r="E14" s="357"/>
    </row>
    <row r="15" spans="1:5" ht="23.25">
      <c r="A15" s="351" t="s">
        <v>638</v>
      </c>
      <c r="B15" s="351"/>
      <c r="C15" s="351"/>
      <c r="D15" s="351"/>
      <c r="E15" s="351"/>
    </row>
    <row r="16" spans="1:5">
      <c r="A16" s="323" t="s">
        <v>612</v>
      </c>
      <c r="B16" s="323" t="s">
        <v>646</v>
      </c>
      <c r="C16" s="323" t="s">
        <v>450</v>
      </c>
      <c r="D16" s="323" t="s">
        <v>613</v>
      </c>
      <c r="E16" s="323" t="s">
        <v>614</v>
      </c>
    </row>
    <row r="17" spans="1:5">
      <c r="A17" s="329" t="s">
        <v>172</v>
      </c>
      <c r="B17" s="329" t="s">
        <v>647</v>
      </c>
      <c r="C17" s="329"/>
      <c r="D17" s="329"/>
      <c r="E17" s="329"/>
    </row>
    <row r="18" spans="1:5" ht="45">
      <c r="A18" s="330" t="s">
        <v>615</v>
      </c>
      <c r="B18" s="324" t="s">
        <v>616</v>
      </c>
      <c r="C18" s="324" t="s">
        <v>680</v>
      </c>
      <c r="D18" s="324" t="s">
        <v>648</v>
      </c>
      <c r="E18" s="324"/>
    </row>
    <row r="19" spans="1:5" ht="60">
      <c r="A19" s="330" t="s">
        <v>617</v>
      </c>
      <c r="B19" s="324" t="s">
        <v>618</v>
      </c>
      <c r="C19" s="324" t="s">
        <v>681</v>
      </c>
      <c r="D19" s="324" t="s">
        <v>649</v>
      </c>
      <c r="E19" s="324"/>
    </row>
    <row r="20" spans="1:5" ht="36" customHeight="1">
      <c r="A20" s="330" t="s">
        <v>619</v>
      </c>
      <c r="B20" s="283" t="s">
        <v>640</v>
      </c>
      <c r="C20" s="324" t="s">
        <v>650</v>
      </c>
      <c r="D20" s="324" t="s">
        <v>651</v>
      </c>
      <c r="E20" s="324" t="s">
        <v>641</v>
      </c>
    </row>
    <row r="21" spans="1:5" ht="30">
      <c r="A21" s="330" t="s">
        <v>621</v>
      </c>
      <c r="B21" s="324" t="s">
        <v>682</v>
      </c>
      <c r="C21" s="324"/>
      <c r="D21" s="324"/>
      <c r="E21" s="324"/>
    </row>
    <row r="22" spans="1:5">
      <c r="A22" s="324">
        <v>4.0999999999999996</v>
      </c>
      <c r="B22" s="324" t="s">
        <v>622</v>
      </c>
      <c r="C22" s="358" t="s">
        <v>652</v>
      </c>
      <c r="D22" s="324" t="s">
        <v>653</v>
      </c>
      <c r="E22" s="324"/>
    </row>
    <row r="23" spans="1:5" ht="30">
      <c r="A23" s="324">
        <v>4.2</v>
      </c>
      <c r="B23" s="324" t="s">
        <v>623</v>
      </c>
      <c r="C23" s="359"/>
      <c r="D23" s="324" t="s">
        <v>654</v>
      </c>
      <c r="E23" s="324"/>
    </row>
    <row r="24" spans="1:5">
      <c r="A24" s="324">
        <v>4.3</v>
      </c>
      <c r="B24" s="324" t="s">
        <v>624</v>
      </c>
      <c r="C24" s="359"/>
      <c r="D24" s="324" t="s">
        <v>655</v>
      </c>
      <c r="E24" s="324"/>
    </row>
    <row r="25" spans="1:5">
      <c r="A25" s="324">
        <v>4.4000000000000004</v>
      </c>
      <c r="B25" s="324" t="s">
        <v>625</v>
      </c>
      <c r="C25" s="359"/>
      <c r="D25" s="324" t="s">
        <v>656</v>
      </c>
      <c r="E25" s="324"/>
    </row>
    <row r="26" spans="1:5">
      <c r="A26" s="324">
        <v>4.5</v>
      </c>
      <c r="B26" s="324" t="s">
        <v>626</v>
      </c>
      <c r="C26" s="359"/>
      <c r="D26" s="324" t="s">
        <v>657</v>
      </c>
      <c r="E26" s="324"/>
    </row>
    <row r="27" spans="1:5">
      <c r="A27" s="324">
        <v>4.5999999999999996</v>
      </c>
      <c r="B27" s="324" t="s">
        <v>627</v>
      </c>
      <c r="C27" s="360"/>
      <c r="D27" s="324" t="s">
        <v>658</v>
      </c>
      <c r="E27" s="324"/>
    </row>
    <row r="28" spans="1:5" ht="45">
      <c r="A28" s="330" t="s">
        <v>628</v>
      </c>
      <c r="B28" s="324" t="s">
        <v>620</v>
      </c>
      <c r="C28" s="324" t="s">
        <v>659</v>
      </c>
      <c r="D28" s="324" t="s">
        <v>684</v>
      </c>
      <c r="E28" s="324"/>
    </row>
    <row r="29" spans="1:5" ht="45">
      <c r="A29" s="330" t="s">
        <v>629</v>
      </c>
      <c r="B29" s="324" t="s">
        <v>660</v>
      </c>
      <c r="C29" s="324" t="s">
        <v>661</v>
      </c>
      <c r="D29" s="324" t="s">
        <v>662</v>
      </c>
      <c r="E29" s="324"/>
    </row>
    <row r="30" spans="1:5" ht="30">
      <c r="A30" s="330" t="s">
        <v>636</v>
      </c>
      <c r="B30" s="324" t="s">
        <v>630</v>
      </c>
      <c r="C30" s="324" t="s">
        <v>663</v>
      </c>
      <c r="D30" s="324" t="s">
        <v>664</v>
      </c>
      <c r="E30" s="324"/>
    </row>
    <row r="31" spans="1:5">
      <c r="A31" s="329" t="s">
        <v>173</v>
      </c>
      <c r="B31" s="331" t="s">
        <v>665</v>
      </c>
      <c r="C31" s="329"/>
      <c r="D31" s="329"/>
      <c r="E31" s="329"/>
    </row>
    <row r="32" spans="1:5" ht="26.25" customHeight="1">
      <c r="A32" s="332" t="s">
        <v>666</v>
      </c>
      <c r="B32" s="324" t="s">
        <v>631</v>
      </c>
      <c r="C32" s="324"/>
      <c r="D32" s="324" t="s">
        <v>667</v>
      </c>
      <c r="E32" s="324" t="s">
        <v>641</v>
      </c>
    </row>
    <row r="33" spans="1:5">
      <c r="A33" s="332" t="s">
        <v>668</v>
      </c>
      <c r="B33" s="324" t="s">
        <v>632</v>
      </c>
      <c r="C33" s="324"/>
      <c r="D33" s="324" t="s">
        <v>669</v>
      </c>
      <c r="E33" s="324" t="s">
        <v>641</v>
      </c>
    </row>
    <row r="34" spans="1:5">
      <c r="A34" s="332" t="s">
        <v>670</v>
      </c>
      <c r="B34" s="324" t="s">
        <v>633</v>
      </c>
      <c r="C34" s="324"/>
      <c r="D34" s="324" t="s">
        <v>671</v>
      </c>
      <c r="E34" s="324" t="s">
        <v>641</v>
      </c>
    </row>
    <row r="35" spans="1:5" ht="35.25" customHeight="1">
      <c r="A35" s="332" t="s">
        <v>672</v>
      </c>
      <c r="B35" s="324" t="s">
        <v>634</v>
      </c>
      <c r="C35" s="324"/>
      <c r="D35" s="324" t="s">
        <v>673</v>
      </c>
      <c r="E35" s="324" t="s">
        <v>641</v>
      </c>
    </row>
    <row r="36" spans="1:5" ht="35.25" customHeight="1">
      <c r="A36" s="332" t="s">
        <v>674</v>
      </c>
      <c r="B36" s="324" t="s">
        <v>675</v>
      </c>
      <c r="C36" s="324"/>
      <c r="D36" s="324" t="s">
        <v>676</v>
      </c>
      <c r="E36" s="324" t="s">
        <v>641</v>
      </c>
    </row>
    <row r="37" spans="1:5">
      <c r="A37" s="330" t="s">
        <v>677</v>
      </c>
      <c r="B37" s="324" t="s">
        <v>678</v>
      </c>
      <c r="C37" s="324"/>
      <c r="D37" s="324"/>
      <c r="E37" s="324"/>
    </row>
  </sheetData>
  <mergeCells count="14">
    <mergeCell ref="B13:E13"/>
    <mergeCell ref="A14:E14"/>
    <mergeCell ref="A15:E15"/>
    <mergeCell ref="C22:C27"/>
    <mergeCell ref="A7:E7"/>
    <mergeCell ref="A8:E8"/>
    <mergeCell ref="A9:E9"/>
    <mergeCell ref="A10:E10"/>
    <mergeCell ref="B12:E12"/>
    <mergeCell ref="A6:E6"/>
    <mergeCell ref="A2:E2"/>
    <mergeCell ref="A3:E3"/>
    <mergeCell ref="A4:E4"/>
    <mergeCell ref="A5:E5"/>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B5:S185"/>
  <sheetViews>
    <sheetView view="pageBreakPreview" topLeftCell="A94" zoomScale="80" zoomScaleSheetLayoutView="80" workbookViewId="0">
      <selection activeCell="P120" sqref="P120"/>
    </sheetView>
  </sheetViews>
  <sheetFormatPr defaultRowHeight="15"/>
  <cols>
    <col min="2" max="2" width="32.7109375" bestFit="1" customWidth="1"/>
    <col min="3" max="3" width="18.7109375" bestFit="1" customWidth="1"/>
    <col min="4" max="5" width="15.85546875" bestFit="1" customWidth="1"/>
    <col min="6" max="6" width="16.5703125" customWidth="1"/>
    <col min="7" max="9" width="15.85546875" bestFit="1"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0" ht="18.75">
      <c r="B5" s="405" t="s">
        <v>566</v>
      </c>
      <c r="C5" s="405"/>
      <c r="D5" s="405"/>
      <c r="E5" s="405"/>
      <c r="F5" s="405"/>
      <c r="G5" s="405"/>
      <c r="H5" s="405"/>
      <c r="I5" s="405"/>
      <c r="J5" s="405"/>
    </row>
    <row r="6" spans="2:10" ht="16.5">
      <c r="B6" s="7"/>
      <c r="C6" s="7"/>
      <c r="D6" s="7"/>
      <c r="E6" s="7"/>
      <c r="F6" s="7"/>
      <c r="G6" s="7"/>
      <c r="H6" s="7"/>
      <c r="I6" s="7"/>
      <c r="J6" s="7"/>
    </row>
    <row r="7" spans="2:10" ht="15.75">
      <c r="B7" s="68" t="s">
        <v>29</v>
      </c>
      <c r="C7" s="69" t="s">
        <v>337</v>
      </c>
      <c r="D7" s="69" t="s">
        <v>2</v>
      </c>
      <c r="E7" s="69" t="s">
        <v>3</v>
      </c>
      <c r="F7" s="69" t="s">
        <v>4</v>
      </c>
      <c r="G7" s="69" t="s">
        <v>5</v>
      </c>
      <c r="H7" s="69" t="s">
        <v>6</v>
      </c>
      <c r="I7" s="69" t="s">
        <v>168</v>
      </c>
      <c r="J7" s="69" t="s">
        <v>167</v>
      </c>
    </row>
    <row r="8" spans="2:10">
      <c r="B8" s="60"/>
      <c r="C8" s="60"/>
      <c r="D8" s="60"/>
      <c r="E8" s="60"/>
      <c r="F8" s="60"/>
      <c r="G8" s="60"/>
      <c r="H8" s="60"/>
      <c r="I8" s="60"/>
      <c r="J8" s="60"/>
    </row>
    <row r="9" spans="2:10">
      <c r="B9" s="60" t="s">
        <v>30</v>
      </c>
      <c r="C9" s="60"/>
      <c r="D9" s="70">
        <f>'6.Cons Profit &amp; Loss'!B51</f>
        <v>819312.8818099607</v>
      </c>
      <c r="E9" s="70">
        <f>'6.Cons Profit &amp; Loss'!C51</f>
        <v>2263144.8877999256</v>
      </c>
      <c r="F9" s="70">
        <f>'6.Cons Profit &amp; Loss'!D51</f>
        <v>3789517.4340285533</v>
      </c>
      <c r="G9" s="70">
        <f>'6.Cons Profit &amp; Loss'!E51</f>
        <v>4777449.3443986513</v>
      </c>
      <c r="H9" s="70">
        <f>'6.Cons Profit &amp; Loss'!F51</f>
        <v>6000761.72805712</v>
      </c>
      <c r="I9" s="70">
        <f>'6.Cons Profit &amp; Loss'!G51</f>
        <v>7355647.6038192455</v>
      </c>
      <c r="J9" s="70">
        <f>'6.Cons Profit &amp; Loss'!H51</f>
        <v>8673048.6481437236</v>
      </c>
    </row>
    <row r="10" spans="2:10">
      <c r="B10" s="60"/>
      <c r="C10" s="60"/>
      <c r="D10" s="70"/>
      <c r="E10" s="70"/>
      <c r="F10" s="70"/>
      <c r="G10" s="70"/>
      <c r="H10" s="70"/>
      <c r="I10" s="70"/>
      <c r="J10" s="70"/>
    </row>
    <row r="11" spans="2:10">
      <c r="B11" s="62" t="s">
        <v>31</v>
      </c>
      <c r="C11" s="62"/>
      <c r="D11" s="70">
        <f>'6.Cons Profit &amp; Loss'!B42</f>
        <v>1078515.4634161398</v>
      </c>
      <c r="E11" s="70">
        <f>'6.Cons Profit &amp; Loss'!C42</f>
        <v>1078515.4634161398</v>
      </c>
      <c r="F11" s="70">
        <f>'6.Cons Profit &amp; Loss'!D42</f>
        <v>1078515.4634161398</v>
      </c>
      <c r="G11" s="70">
        <f>'6.Cons Profit &amp; Loss'!E42</f>
        <v>1078515.4634161398</v>
      </c>
      <c r="H11" s="70">
        <f>'6.Cons Profit &amp; Loss'!F42</f>
        <v>1078515.4634161398</v>
      </c>
      <c r="I11" s="70">
        <f>'6.Cons Profit &amp; Loss'!G42</f>
        <v>1078515.4634161398</v>
      </c>
      <c r="J11" s="70">
        <f>'6.Cons Profit &amp; Loss'!H42</f>
        <v>1078515.4634161398</v>
      </c>
    </row>
    <row r="12" spans="2:10">
      <c r="B12" s="60" t="s">
        <v>36</v>
      </c>
      <c r="C12" s="60"/>
      <c r="D12" s="70">
        <f>'6.Cons Profit &amp; Loss'!B43</f>
        <v>149729.20000000001</v>
      </c>
      <c r="E12" s="70">
        <f>'6.Cons Profit &amp; Loss'!C43</f>
        <v>149729.20000000001</v>
      </c>
      <c r="F12" s="70">
        <f>'6.Cons Profit &amp; Loss'!D43</f>
        <v>149729.20000000001</v>
      </c>
      <c r="G12" s="70">
        <f>'6.Cons Profit &amp; Loss'!E43</f>
        <v>149729.20000000001</v>
      </c>
      <c r="H12" s="70">
        <f>'6.Cons Profit &amp; Loss'!F43</f>
        <v>149729.20000000001</v>
      </c>
      <c r="I12" s="70">
        <f>'6.Cons Profit &amp; Loss'!G43</f>
        <v>0</v>
      </c>
      <c r="J12" s="70">
        <f>'6.Cons Profit &amp; Loss'!H43</f>
        <v>0</v>
      </c>
    </row>
    <row r="13" spans="2:10">
      <c r="B13" s="60"/>
      <c r="C13" s="60"/>
      <c r="D13" s="60"/>
      <c r="E13" s="60"/>
      <c r="F13" s="60"/>
      <c r="G13" s="60"/>
      <c r="H13" s="60"/>
      <c r="I13" s="60"/>
      <c r="J13" s="60"/>
    </row>
    <row r="14" spans="2:10">
      <c r="B14" s="60" t="s">
        <v>32</v>
      </c>
      <c r="C14" s="60"/>
      <c r="D14" s="70">
        <f>SUM(D9:D12)</f>
        <v>2047557.5452261006</v>
      </c>
      <c r="E14" s="70">
        <f t="shared" ref="E14:J14" si="0">SUM(E9:E12)</f>
        <v>3491389.5512160659</v>
      </c>
      <c r="F14" s="70">
        <f t="shared" si="0"/>
        <v>5017762.0974446936</v>
      </c>
      <c r="G14" s="70">
        <f t="shared" si="0"/>
        <v>6005694.0078147911</v>
      </c>
      <c r="H14" s="70">
        <f t="shared" si="0"/>
        <v>7229006.3914732598</v>
      </c>
      <c r="I14" s="70">
        <f t="shared" si="0"/>
        <v>8434163.067235386</v>
      </c>
      <c r="J14" s="70">
        <f t="shared" si="0"/>
        <v>9751564.1115598641</v>
      </c>
    </row>
    <row r="15" spans="2:10">
      <c r="B15" s="60" t="s">
        <v>346</v>
      </c>
      <c r="C15" s="71">
        <f>-'1.Project Cost and MOF'!E22</f>
        <v>-25785468.383523855</v>
      </c>
      <c r="D15" s="70">
        <f>D14</f>
        <v>2047557.5452261006</v>
      </c>
      <c r="E15" s="70">
        <f t="shared" ref="E15:J15" si="1">E14</f>
        <v>3491389.5512160659</v>
      </c>
      <c r="F15" s="70">
        <f t="shared" si="1"/>
        <v>5017762.0974446936</v>
      </c>
      <c r="G15" s="70">
        <f t="shared" si="1"/>
        <v>6005694.0078147911</v>
      </c>
      <c r="H15" s="70">
        <f t="shared" si="1"/>
        <v>7229006.3914732598</v>
      </c>
      <c r="I15" s="70">
        <f t="shared" si="1"/>
        <v>8434163.067235386</v>
      </c>
      <c r="J15" s="70">
        <f t="shared" si="1"/>
        <v>9751564.1115598641</v>
      </c>
    </row>
    <row r="16" spans="2:10">
      <c r="B16" s="60" t="s">
        <v>277</v>
      </c>
      <c r="C16" s="240">
        <f>IRR(C15:J15)</f>
        <v>0.11013609315237691</v>
      </c>
      <c r="D16" s="70"/>
      <c r="E16" s="70"/>
      <c r="F16" s="70"/>
      <c r="G16" s="70"/>
      <c r="H16" s="70"/>
      <c r="I16" s="70"/>
      <c r="J16" s="70"/>
    </row>
    <row r="17" spans="2:19">
      <c r="B17" s="60"/>
      <c r="C17" s="60"/>
      <c r="D17" s="60"/>
      <c r="E17" s="60"/>
      <c r="F17" s="60"/>
      <c r="G17" s="60"/>
      <c r="H17" s="60"/>
      <c r="I17" s="60"/>
      <c r="J17" s="60"/>
    </row>
    <row r="18" spans="2:19" ht="16.5">
      <c r="B18" s="241" t="s">
        <v>406</v>
      </c>
      <c r="C18" s="241"/>
      <c r="D18" s="242">
        <f>1/(1+$C$16)</f>
        <v>0.90079045818640935</v>
      </c>
      <c r="E18" s="243">
        <f t="shared" ref="E18:J18" si="2">D18/(1+$C$16)</f>
        <v>0.81142344955968126</v>
      </c>
      <c r="F18" s="243">
        <f t="shared" si="2"/>
        <v>0.73092250091206212</v>
      </c>
      <c r="G18" s="243">
        <f t="shared" si="2"/>
        <v>0.65840801449533259</v>
      </c>
      <c r="H18" s="243">
        <f t="shared" si="2"/>
        <v>0.59308765705085464</v>
      </c>
      <c r="I18" s="243">
        <f t="shared" si="2"/>
        <v>0.53424770233954333</v>
      </c>
      <c r="J18" s="243">
        <f t="shared" si="2"/>
        <v>0.48124523257547364</v>
      </c>
      <c r="L18" s="14"/>
      <c r="M18" s="14"/>
      <c r="N18" s="14"/>
      <c r="O18" s="14"/>
      <c r="P18" s="14"/>
      <c r="Q18" s="14"/>
      <c r="R18" s="14"/>
      <c r="S18" s="14"/>
    </row>
    <row r="19" spans="2:19">
      <c r="B19" s="60" t="s">
        <v>33</v>
      </c>
      <c r="C19" s="60"/>
      <c r="D19" s="70">
        <f t="shared" ref="D19:J19" si="3">D14*D18</f>
        <v>1844420.2993272587</v>
      </c>
      <c r="E19" s="70">
        <f t="shared" si="3"/>
        <v>2832995.3534043678</v>
      </c>
      <c r="F19" s="70">
        <f t="shared" si="3"/>
        <v>3667595.2212460297</v>
      </c>
      <c r="G19" s="70">
        <f t="shared" si="3"/>
        <v>3954197.067351853</v>
      </c>
      <c r="H19" s="70">
        <f t="shared" si="3"/>
        <v>4287434.4635245288</v>
      </c>
      <c r="I19" s="70">
        <f t="shared" si="3"/>
        <v>4505932.2398275407</v>
      </c>
      <c r="J19" s="70">
        <f t="shared" si="3"/>
        <v>4692893.7388422685</v>
      </c>
      <c r="L19" s="6"/>
    </row>
    <row r="20" spans="2:19">
      <c r="B20" s="60" t="s">
        <v>34</v>
      </c>
      <c r="C20" s="60"/>
      <c r="D20" s="412">
        <f>SUM(D19:J19)</f>
        <v>25785468.383523844</v>
      </c>
      <c r="E20" s="412"/>
      <c r="F20" s="412"/>
      <c r="G20" s="412"/>
      <c r="H20" s="412"/>
      <c r="I20" s="412"/>
      <c r="J20" s="412"/>
      <c r="L20" s="6"/>
    </row>
    <row r="21" spans="2:19">
      <c r="B21" s="60"/>
      <c r="C21" s="60"/>
      <c r="D21" s="70"/>
      <c r="E21" s="70"/>
      <c r="F21" s="70"/>
      <c r="G21" s="70"/>
      <c r="H21" s="70"/>
      <c r="I21" s="70"/>
      <c r="J21" s="70"/>
    </row>
    <row r="22" spans="2:19">
      <c r="B22" s="8" t="s">
        <v>35</v>
      </c>
      <c r="C22" s="8"/>
      <c r="D22" s="413">
        <f>'1.Project Cost and MOF'!D12</f>
        <v>25785468.383523855</v>
      </c>
      <c r="E22" s="413"/>
      <c r="F22" s="413"/>
      <c r="G22" s="413"/>
      <c r="H22" s="413"/>
      <c r="I22" s="413"/>
      <c r="J22" s="413"/>
    </row>
    <row r="23" spans="2:19">
      <c r="F23" s="14">
        <f>D20-D22</f>
        <v>0</v>
      </c>
    </row>
    <row r="24" spans="2:19" ht="29.45" customHeight="1">
      <c r="B24" s="406" t="s">
        <v>423</v>
      </c>
      <c r="C24" s="406"/>
      <c r="D24" s="406"/>
      <c r="E24" s="406"/>
      <c r="F24" s="406"/>
      <c r="G24" s="406"/>
      <c r="H24" s="406"/>
      <c r="I24" s="406"/>
      <c r="J24" s="406"/>
    </row>
    <row r="25" spans="2:19">
      <c r="K25" s="14"/>
      <c r="L25" s="14"/>
      <c r="M25" s="14"/>
    </row>
    <row r="26" spans="2:19" ht="18.75">
      <c r="B26" s="368" t="s">
        <v>567</v>
      </c>
      <c r="C26" s="368"/>
      <c r="D26" s="368"/>
      <c r="E26" s="368"/>
      <c r="F26" s="368"/>
      <c r="G26" s="368"/>
      <c r="H26" s="368"/>
      <c r="I26" s="368"/>
    </row>
    <row r="27" spans="2:19">
      <c r="K27" s="14"/>
    </row>
    <row r="28" spans="2:19">
      <c r="B28" s="90" t="s">
        <v>0</v>
      </c>
      <c r="C28" s="81" t="s">
        <v>2</v>
      </c>
      <c r="D28" s="81" t="s">
        <v>3</v>
      </c>
      <c r="E28" s="81" t="s">
        <v>4</v>
      </c>
      <c r="F28" s="81" t="s">
        <v>5</v>
      </c>
      <c r="G28" s="81" t="s">
        <v>6</v>
      </c>
      <c r="H28" s="81" t="s">
        <v>168</v>
      </c>
      <c r="I28" s="81" t="s">
        <v>167</v>
      </c>
    </row>
    <row r="29" spans="2:19">
      <c r="B29" s="74"/>
      <c r="C29" s="74"/>
      <c r="D29" s="74"/>
      <c r="E29" s="74"/>
      <c r="F29" s="74"/>
      <c r="G29" s="74"/>
      <c r="H29" s="74"/>
      <c r="I29" s="74"/>
    </row>
    <row r="30" spans="2:19">
      <c r="B30" s="74" t="s">
        <v>37</v>
      </c>
      <c r="C30" s="74"/>
      <c r="D30" s="74"/>
      <c r="E30" s="74"/>
      <c r="F30" s="74"/>
      <c r="G30" s="74"/>
      <c r="H30" s="74"/>
      <c r="I30" s="74"/>
    </row>
    <row r="31" spans="2:19">
      <c r="B31" s="74"/>
      <c r="C31" s="75"/>
      <c r="D31" s="75"/>
      <c r="E31" s="75"/>
      <c r="F31" s="75"/>
      <c r="G31" s="75"/>
      <c r="H31" s="75"/>
      <c r="I31" s="75"/>
    </row>
    <row r="32" spans="2:19">
      <c r="B32" s="87" t="str">
        <f>'6.Cons Profit &amp; Loss'!A8</f>
        <v>Faclitiy 1 - Cleaning &amp; Grading</v>
      </c>
      <c r="C32" s="75">
        <f>'6.Cons Profit &amp; Loss'!B8</f>
        <v>16814849.749083001</v>
      </c>
      <c r="D32" s="75">
        <f>'6.Cons Profit &amp; Loss'!C8</f>
        <v>21625689.506682746</v>
      </c>
      <c r="E32" s="75">
        <f>'6.Cons Profit &amp; Loss'!D8</f>
        <v>26122183.229594994</v>
      </c>
      <c r="F32" s="75">
        <f>'6.Cons Profit &amp; Loss'!E8</f>
        <v>29435796.422369998</v>
      </c>
      <c r="G32" s="75">
        <f>'6.Cons Profit &amp; Loss'!F8</f>
        <v>32734845.952694997</v>
      </c>
      <c r="H32" s="75">
        <f>'6.Cons Profit &amp; Loss'!G8</f>
        <v>36035990.974019989</v>
      </c>
      <c r="I32" s="75">
        <f>'6.Cons Profit &amp; Loss'!H8</f>
        <v>39339231.486345001</v>
      </c>
    </row>
    <row r="33" spans="2:9">
      <c r="B33" s="87" t="str">
        <f>'6.Cons Profit &amp; Loss'!A9</f>
        <v>Faclitiy 2 - Processing Unit- Dal Mill</v>
      </c>
      <c r="C33" s="75">
        <f>'6.Cons Profit &amp; Loss'!B9</f>
        <v>8396039.1731400006</v>
      </c>
      <c r="D33" s="75">
        <f>'6.Cons Profit &amp; Loss'!C9</f>
        <v>13699142.686485002</v>
      </c>
      <c r="E33" s="75">
        <f>'6.Cons Profit &amp; Loss'!D9</f>
        <v>19297992.190800004</v>
      </c>
      <c r="F33" s="75">
        <f>'6.Cons Profit &amp; Loss'!E9</f>
        <v>24175834.185300004</v>
      </c>
      <c r="G33" s="75">
        <f>'6.Cons Profit &amp; Loss'!F9</f>
        <v>29053676.179800004</v>
      </c>
      <c r="H33" s="75">
        <f>'6.Cons Profit &amp; Loss'!G9</f>
        <v>33931518.1743</v>
      </c>
      <c r="I33" s="75">
        <f>'6.Cons Profit &amp; Loss'!H9</f>
        <v>38809360.168800004</v>
      </c>
    </row>
    <row r="34" spans="2:9">
      <c r="B34" s="87" t="str">
        <f>'6.Cons Profit &amp; Loss'!A10</f>
        <v>Faclitiy 3 - Warehouse</v>
      </c>
      <c r="C34" s="75">
        <f>'6.Cons Profit &amp; Loss'!B10</f>
        <v>864000</v>
      </c>
      <c r="D34" s="75">
        <f>'6.Cons Profit &amp; Loss'!C10</f>
        <v>969000.00000000023</v>
      </c>
      <c r="E34" s="75">
        <f>'6.Cons Profit &amp; Loss'!D10</f>
        <v>1080000.0000000002</v>
      </c>
      <c r="F34" s="75">
        <f>'6.Cons Profit &amp; Loss'!E10</f>
        <v>1140000.0000000005</v>
      </c>
      <c r="G34" s="75">
        <f>'6.Cons Profit &amp; Loss'!F10</f>
        <v>1200000.0000000005</v>
      </c>
      <c r="H34" s="75">
        <f>'6.Cons Profit &amp; Loss'!G10</f>
        <v>1200000.0000000005</v>
      </c>
      <c r="I34" s="75">
        <f>'6.Cons Profit &amp; Loss'!H10</f>
        <v>1200000.0000000005</v>
      </c>
    </row>
    <row r="35" spans="2:9">
      <c r="B35" s="87" t="str">
        <f>'6.Cons Profit &amp; Loss'!A11</f>
        <v xml:space="preserve">Faclitiy 4 - Custom Hiring </v>
      </c>
      <c r="C35" s="75">
        <f>'6.Cons Profit &amp; Loss'!B11</f>
        <v>648000</v>
      </c>
      <c r="D35" s="75">
        <f>'6.Cons Profit &amp; Loss'!C11</f>
        <v>684000</v>
      </c>
      <c r="E35" s="75">
        <f>'6.Cons Profit &amp; Loss'!D11</f>
        <v>720000</v>
      </c>
      <c r="F35" s="75">
        <f>'6.Cons Profit &amp; Loss'!E11</f>
        <v>720000</v>
      </c>
      <c r="G35" s="75">
        <f>'6.Cons Profit &amp; Loss'!F11</f>
        <v>720000</v>
      </c>
      <c r="H35" s="75">
        <f>'6.Cons Profit &amp; Loss'!G11</f>
        <v>720000</v>
      </c>
      <c r="I35" s="75">
        <f>'6.Cons Profit &amp; Loss'!H11</f>
        <v>720000</v>
      </c>
    </row>
    <row r="36" spans="2:9">
      <c r="B36" s="87" t="str">
        <f>'6.Cons Profit &amp; Loss'!A12</f>
        <v>Faclitiy 5 - Agri Input Centre</v>
      </c>
      <c r="C36" s="75">
        <f>'6.Cons Profit &amp; Loss'!B12</f>
        <v>58656823.399687506</v>
      </c>
      <c r="D36" s="75">
        <f>'6.Cons Profit &amp; Loss'!C12</f>
        <v>69936981.745781228</v>
      </c>
      <c r="E36" s="75">
        <f>'6.Cons Profit &amp; Loss'!D12</f>
        <v>78895142.584375009</v>
      </c>
      <c r="F36" s="75">
        <f>'6.Cons Profit &amp; Loss'!E12</f>
        <v>84172409.646875024</v>
      </c>
      <c r="G36" s="75">
        <f>'6.Cons Profit &amp; Loss'!F12</f>
        <v>89449676.709375009</v>
      </c>
      <c r="H36" s="75">
        <f>'6.Cons Profit &amp; Loss'!G12</f>
        <v>94726943.771875009</v>
      </c>
      <c r="I36" s="75">
        <f>'6.Cons Profit &amp; Loss'!H12</f>
        <v>100004210.83437502</v>
      </c>
    </row>
    <row r="37" spans="2:9">
      <c r="B37" s="87" t="str">
        <f>'6.Cons Profit &amp; Loss'!A13</f>
        <v>Facility 6 - Processing Unit - Horti Commodity</v>
      </c>
      <c r="C37" s="75">
        <f>'6.Cons Profit &amp; Loss'!B13</f>
        <v>0</v>
      </c>
      <c r="D37" s="75">
        <f>'6.Cons Profit &amp; Loss'!C13</f>
        <v>0</v>
      </c>
      <c r="E37" s="75">
        <f>'6.Cons Profit &amp; Loss'!D13</f>
        <v>0</v>
      </c>
      <c r="F37" s="75">
        <f>'6.Cons Profit &amp; Loss'!E13</f>
        <v>0</v>
      </c>
      <c r="G37" s="75">
        <f>'6.Cons Profit &amp; Loss'!F13</f>
        <v>0</v>
      </c>
      <c r="H37" s="75">
        <f>'6.Cons Profit &amp; Loss'!G13</f>
        <v>0</v>
      </c>
      <c r="I37" s="75">
        <f>'6.Cons Profit &amp; Loss'!H13</f>
        <v>0</v>
      </c>
    </row>
    <row r="38" spans="2:9">
      <c r="B38" s="87"/>
      <c r="C38" s="87"/>
      <c r="D38" s="87"/>
      <c r="E38" s="87"/>
      <c r="F38" s="87"/>
      <c r="G38" s="87"/>
      <c r="H38" s="87"/>
      <c r="I38" s="87"/>
    </row>
    <row r="39" spans="2:9">
      <c r="B39" s="74" t="s">
        <v>8</v>
      </c>
      <c r="C39" s="75">
        <f>SUM(C32:C38)</f>
        <v>85379712.321910501</v>
      </c>
      <c r="D39" s="75">
        <f t="shared" ref="D39:I39" si="4">SUM(D32:D38)</f>
        <v>106914813.93894897</v>
      </c>
      <c r="E39" s="75">
        <f t="shared" si="4"/>
        <v>126115318.00477001</v>
      </c>
      <c r="F39" s="75">
        <f t="shared" si="4"/>
        <v>139644040.25454503</v>
      </c>
      <c r="G39" s="75">
        <f t="shared" si="4"/>
        <v>153158198.84187001</v>
      </c>
      <c r="H39" s="75">
        <f t="shared" si="4"/>
        <v>166614452.92019498</v>
      </c>
      <c r="I39" s="75">
        <f t="shared" si="4"/>
        <v>180072802.48952001</v>
      </c>
    </row>
    <row r="40" spans="2:9">
      <c r="B40" s="74"/>
      <c r="C40" s="75"/>
      <c r="D40" s="75"/>
      <c r="E40" s="75"/>
      <c r="F40" s="75"/>
      <c r="G40" s="75"/>
      <c r="H40" s="75"/>
      <c r="I40" s="75"/>
    </row>
    <row r="41" spans="2:9">
      <c r="B41" s="74" t="s">
        <v>38</v>
      </c>
      <c r="C41" s="75">
        <f>'6.Cons Profit &amp; Loss'!B25</f>
        <v>77899420.809847116</v>
      </c>
      <c r="D41" s="75">
        <f>'6.Cons Profit &amp; Loss'!C25</f>
        <v>96958217.770980746</v>
      </c>
      <c r="E41" s="75">
        <f>'6.Cons Profit &amp; Loss'!D25</f>
        <v>113850565.52476589</v>
      </c>
      <c r="F41" s="75">
        <f>'6.Cons Profit &amp; Loss'!E25</f>
        <v>125913375.07912624</v>
      </c>
      <c r="G41" s="75">
        <f>'6.Cons Profit &amp; Loss'!F25</f>
        <v>137720259.75860125</v>
      </c>
      <c r="H41" s="75">
        <f>'6.Cons Profit &amp; Loss'!G25</f>
        <v>149527144.43807626</v>
      </c>
      <c r="I41" s="75">
        <f>'6.Cons Profit &amp; Loss'!H25</f>
        <v>161334029.11755127</v>
      </c>
    </row>
    <row r="42" spans="2:9">
      <c r="B42" s="74"/>
      <c r="C42" s="75"/>
      <c r="D42" s="75"/>
      <c r="E42" s="75"/>
      <c r="F42" s="75"/>
      <c r="G42" s="75"/>
      <c r="H42" s="75"/>
      <c r="I42" s="75"/>
    </row>
    <row r="43" spans="2:9">
      <c r="B43" s="76" t="s">
        <v>39</v>
      </c>
      <c r="C43" s="92">
        <f>C39-C41</f>
        <v>7480291.5120633841</v>
      </c>
      <c r="D43" s="92">
        <f t="shared" ref="D43:I43" si="5">D39-D41</f>
        <v>9956596.1679682285</v>
      </c>
      <c r="E43" s="92">
        <f t="shared" si="5"/>
        <v>12264752.480004117</v>
      </c>
      <c r="F43" s="92">
        <f t="shared" si="5"/>
        <v>13730665.175418794</v>
      </c>
      <c r="G43" s="92">
        <f t="shared" si="5"/>
        <v>15437939.083268762</v>
      </c>
      <c r="H43" s="92">
        <f t="shared" si="5"/>
        <v>17087308.482118726</v>
      </c>
      <c r="I43" s="92">
        <f t="shared" si="5"/>
        <v>18738773.371968746</v>
      </c>
    </row>
    <row r="44" spans="2:9">
      <c r="B44" s="74"/>
      <c r="C44" s="75"/>
      <c r="D44" s="75"/>
      <c r="E44" s="75"/>
      <c r="F44" s="75"/>
      <c r="G44" s="75"/>
      <c r="H44" s="75"/>
      <c r="I44" s="75"/>
    </row>
    <row r="45" spans="2:9">
      <c r="B45" s="76" t="s">
        <v>41</v>
      </c>
      <c r="C45" s="92">
        <f>'6.Cons Profit &amp; Loss'!B36+'6.Cons Profit &amp; Loss'!B42+'6.Cons Profit &amp; Loss'!B43</f>
        <v>5343311.3482131399</v>
      </c>
      <c r="D45" s="92">
        <f>'6.Cons Profit &amp; Loss'!C36+'6.Cons Profit &amp; Loss'!C42+'6.Cons Profit &amp; Loss'!C43</f>
        <v>5640999.18600039</v>
      </c>
      <c r="E45" s="92">
        <f>'6.Cons Profit &amp; Loss'!D36+'6.Cons Profit &amp; Loss'!D42+'6.Cons Profit &amp; Loss'!D43</f>
        <v>5938687.02378764</v>
      </c>
      <c r="F45" s="92">
        <f>'6.Cons Profit &amp; Loss'!E36+'6.Cons Profit &amp; Loss'!E42+'6.Cons Profit &amp; Loss'!E43</f>
        <v>6236374.8615748901</v>
      </c>
      <c r="G45" s="92">
        <f>'6.Cons Profit &amp; Loss'!F36+'6.Cons Profit &amp; Loss'!F42+'6.Cons Profit &amp; Loss'!F43</f>
        <v>6534062.6993621401</v>
      </c>
      <c r="H45" s="92">
        <f>'6.Cons Profit &amp; Loss'!G36+'6.Cons Profit &amp; Loss'!G42+'6.Cons Profit &amp; Loss'!G43</f>
        <v>6682021.33714939</v>
      </c>
      <c r="I45" s="92">
        <f>'6.Cons Profit &amp; Loss'!H36+'6.Cons Profit &amp; Loss'!H42+'6.Cons Profit &amp; Loss'!H43</f>
        <v>6979709.1749366401</v>
      </c>
    </row>
    <row r="46" spans="2:9">
      <c r="B46" s="74"/>
      <c r="C46" s="74"/>
      <c r="D46" s="74"/>
      <c r="E46" s="74"/>
      <c r="F46" s="74"/>
      <c r="G46" s="74"/>
      <c r="H46" s="74"/>
      <c r="I46" s="74"/>
    </row>
    <row r="47" spans="2:9">
      <c r="B47" s="74" t="s">
        <v>40</v>
      </c>
      <c r="C47" s="91">
        <f>C45/C43</f>
        <v>0.71431859835890621</v>
      </c>
      <c r="D47" s="91">
        <f>D45/D43</f>
        <v>0.56655900177495178</v>
      </c>
      <c r="E47" s="91">
        <f>E45/E43</f>
        <v>0.48420765388211462</v>
      </c>
      <c r="F47" s="91">
        <f>F45/F43</f>
        <v>0.45419320782357336</v>
      </c>
      <c r="G47" s="91">
        <f>G45/G43</f>
        <v>0.42324708396107019</v>
      </c>
      <c r="H47" s="91">
        <f t="shared" ref="H47:I47" si="6">H45/H43</f>
        <v>0.39105171795440419</v>
      </c>
      <c r="I47" s="91">
        <f t="shared" si="6"/>
        <v>0.3724741762114247</v>
      </c>
    </row>
    <row r="48" spans="2:9">
      <c r="B48" s="73"/>
      <c r="C48" s="73"/>
      <c r="D48" s="73"/>
      <c r="E48" s="73"/>
      <c r="F48" s="73"/>
      <c r="G48" s="73"/>
      <c r="H48" s="73"/>
      <c r="I48" s="73"/>
    </row>
    <row r="49" spans="2:10">
      <c r="B49" s="93" t="s">
        <v>133</v>
      </c>
      <c r="C49" s="94">
        <f>AVERAGE(C47:I47)</f>
        <v>0.48657877713806358</v>
      </c>
      <c r="D49" s="73"/>
      <c r="E49" s="73"/>
      <c r="F49" s="73"/>
      <c r="G49" s="73"/>
      <c r="H49" s="73"/>
      <c r="I49" s="73"/>
    </row>
    <row r="51" spans="2:10" ht="41.45" customHeight="1">
      <c r="B51" s="407" t="s">
        <v>424</v>
      </c>
      <c r="C51" s="407"/>
      <c r="D51" s="407"/>
      <c r="E51" s="407"/>
      <c r="F51" s="407"/>
      <c r="G51" s="407"/>
      <c r="H51" s="407"/>
      <c r="I51" s="407"/>
      <c r="J51" s="407"/>
    </row>
    <row r="54" spans="2:10" ht="18.75">
      <c r="B54" s="368" t="s">
        <v>568</v>
      </c>
      <c r="C54" s="368"/>
      <c r="D54" s="368"/>
      <c r="E54" s="368"/>
      <c r="F54" s="368"/>
      <c r="G54" s="368"/>
      <c r="H54" s="368"/>
      <c r="I54" s="368"/>
    </row>
    <row r="56" spans="2:10">
      <c r="B56" s="65" t="s">
        <v>29</v>
      </c>
      <c r="C56" s="66" t="s">
        <v>2</v>
      </c>
      <c r="D56" s="66" t="s">
        <v>3</v>
      </c>
      <c r="E56" s="66" t="s">
        <v>4</v>
      </c>
      <c r="F56" s="66" t="s">
        <v>5</v>
      </c>
      <c r="G56" s="66" t="s">
        <v>6</v>
      </c>
      <c r="H56" s="66" t="s">
        <v>168</v>
      </c>
      <c r="I56" s="66" t="s">
        <v>167</v>
      </c>
    </row>
    <row r="57" spans="2:10">
      <c r="B57" s="74"/>
      <c r="C57" s="74"/>
      <c r="D57" s="74"/>
      <c r="E57" s="74"/>
      <c r="F57" s="74"/>
      <c r="G57" s="74"/>
      <c r="H57" s="74"/>
      <c r="I57" s="74"/>
    </row>
    <row r="58" spans="2:10">
      <c r="B58" s="74" t="s">
        <v>379</v>
      </c>
      <c r="C58" s="291">
        <f>'6.Cons Profit &amp; Loss'!B51</f>
        <v>819312.8818099607</v>
      </c>
      <c r="D58" s="291">
        <f>'6.Cons Profit &amp; Loss'!C51</f>
        <v>2263144.8877999256</v>
      </c>
      <c r="E58" s="291">
        <f>'6.Cons Profit &amp; Loss'!D51</f>
        <v>3789517.4340285533</v>
      </c>
      <c r="F58" s="291">
        <f>'6.Cons Profit &amp; Loss'!E51</f>
        <v>4777449.3443986513</v>
      </c>
      <c r="G58" s="291">
        <f>'6.Cons Profit &amp; Loss'!F51</f>
        <v>6000761.72805712</v>
      </c>
      <c r="H58" s="291">
        <f>'6.Cons Profit &amp; Loss'!G51</f>
        <v>7355647.6038192455</v>
      </c>
      <c r="I58" s="291">
        <f>'6.Cons Profit &amp; Loss'!H51</f>
        <v>8673048.6481437236</v>
      </c>
    </row>
    <row r="59" spans="2:10">
      <c r="B59" s="74"/>
      <c r="C59" s="291"/>
      <c r="D59" s="291"/>
      <c r="E59" s="291"/>
      <c r="F59" s="291"/>
      <c r="G59" s="291"/>
      <c r="H59" s="291"/>
      <c r="I59" s="291"/>
    </row>
    <row r="60" spans="2:10">
      <c r="B60" s="74" t="s">
        <v>42</v>
      </c>
      <c r="C60" s="291">
        <f>'6.Cons Profit &amp; Loss'!B42</f>
        <v>1078515.4634161398</v>
      </c>
      <c r="D60" s="291">
        <f>'6.Cons Profit &amp; Loss'!C42</f>
        <v>1078515.4634161398</v>
      </c>
      <c r="E60" s="291">
        <f>'6.Cons Profit &amp; Loss'!D42</f>
        <v>1078515.4634161398</v>
      </c>
      <c r="F60" s="291">
        <f>'6.Cons Profit &amp; Loss'!E42</f>
        <v>1078515.4634161398</v>
      </c>
      <c r="G60" s="291">
        <f>'6.Cons Profit &amp; Loss'!F42</f>
        <v>1078515.4634161398</v>
      </c>
      <c r="H60" s="291">
        <f>'6.Cons Profit &amp; Loss'!G42</f>
        <v>1078515.4634161398</v>
      </c>
      <c r="I60" s="291">
        <f>'6.Cons Profit &amp; Loss'!H42</f>
        <v>1078515.4634161398</v>
      </c>
    </row>
    <row r="61" spans="2:10">
      <c r="B61" s="86" t="s">
        <v>48</v>
      </c>
      <c r="C61" s="291">
        <f>'6.Cons Profit &amp; Loss'!B43</f>
        <v>149729.20000000001</v>
      </c>
      <c r="D61" s="291">
        <f>'6.Cons Profit &amp; Loss'!C43</f>
        <v>149729.20000000001</v>
      </c>
      <c r="E61" s="291">
        <f>'6.Cons Profit &amp; Loss'!D43</f>
        <v>149729.20000000001</v>
      </c>
      <c r="F61" s="291">
        <f>'6.Cons Profit &amp; Loss'!E43</f>
        <v>149729.20000000001</v>
      </c>
      <c r="G61" s="291">
        <f>'6.Cons Profit &amp; Loss'!F43</f>
        <v>149729.20000000001</v>
      </c>
      <c r="H61" s="291">
        <f>'6.Cons Profit &amp; Loss'!G43</f>
        <v>0</v>
      </c>
      <c r="I61" s="291">
        <f>'6.Cons Profit &amp; Loss'!H43</f>
        <v>0</v>
      </c>
    </row>
    <row r="62" spans="2:10">
      <c r="B62" s="74"/>
      <c r="C62" s="291"/>
      <c r="D62" s="291"/>
      <c r="E62" s="291"/>
      <c r="F62" s="291"/>
      <c r="G62" s="291"/>
      <c r="H62" s="291"/>
      <c r="I62" s="291"/>
    </row>
    <row r="63" spans="2:10">
      <c r="B63" s="74" t="s">
        <v>32</v>
      </c>
      <c r="C63" s="291">
        <f>SUM(C58:C61)</f>
        <v>2047557.5452261006</v>
      </c>
      <c r="D63" s="291">
        <f t="shared" ref="D63:I63" si="7">SUM(D58:D61)</f>
        <v>3491389.5512160659</v>
      </c>
      <c r="E63" s="291">
        <f t="shared" si="7"/>
        <v>5017762.0974446936</v>
      </c>
      <c r="F63" s="291">
        <f t="shared" si="7"/>
        <v>6005694.0078147911</v>
      </c>
      <c r="G63" s="291">
        <f t="shared" si="7"/>
        <v>7229006.3914732598</v>
      </c>
      <c r="H63" s="291">
        <f t="shared" si="7"/>
        <v>8434163.067235386</v>
      </c>
      <c r="I63" s="291">
        <f t="shared" si="7"/>
        <v>9751564.1115598641</v>
      </c>
    </row>
    <row r="64" spans="2:10">
      <c r="B64" s="74"/>
      <c r="C64" s="74"/>
      <c r="D64" s="74"/>
      <c r="E64" s="74"/>
      <c r="F64" s="74"/>
      <c r="G64" s="74"/>
      <c r="H64" s="74"/>
      <c r="I64" s="74"/>
    </row>
    <row r="65" spans="2:10" ht="16.5">
      <c r="B65" s="10" t="s">
        <v>43</v>
      </c>
      <c r="C65" s="87">
        <f>1/1.1</f>
        <v>0.90909090909090906</v>
      </c>
      <c r="D65" s="87">
        <f t="shared" ref="D65:I65" si="8">C65/1.1</f>
        <v>0.82644628099173545</v>
      </c>
      <c r="E65" s="87">
        <f t="shared" si="8"/>
        <v>0.75131480090157765</v>
      </c>
      <c r="F65" s="87">
        <f t="shared" si="8"/>
        <v>0.68301345536507052</v>
      </c>
      <c r="G65" s="87">
        <f t="shared" si="8"/>
        <v>0.62092132305915493</v>
      </c>
      <c r="H65" s="87">
        <f t="shared" si="8"/>
        <v>0.56447393005377711</v>
      </c>
      <c r="I65" s="87">
        <f t="shared" si="8"/>
        <v>0.51315811823070645</v>
      </c>
    </row>
    <row r="66" spans="2:10">
      <c r="B66" s="74"/>
      <c r="C66" s="74"/>
      <c r="D66" s="74"/>
      <c r="E66" s="74"/>
      <c r="F66" s="74"/>
      <c r="G66" s="74"/>
      <c r="H66" s="74"/>
      <c r="I66" s="74"/>
    </row>
    <row r="67" spans="2:10" ht="16.5">
      <c r="B67" s="10" t="s">
        <v>44</v>
      </c>
      <c r="C67" s="75">
        <f>C63*C65</f>
        <v>1861415.9502055459</v>
      </c>
      <c r="D67" s="75">
        <f t="shared" ref="D67:I67" si="9">D63*D65</f>
        <v>2885445.9100959217</v>
      </c>
      <c r="E67" s="75">
        <f t="shared" si="9"/>
        <v>3769918.9312131428</v>
      </c>
      <c r="F67" s="75">
        <f t="shared" si="9"/>
        <v>4101969.8161428794</v>
      </c>
      <c r="G67" s="75">
        <f t="shared" si="9"/>
        <v>4488644.2129966635</v>
      </c>
      <c r="H67" s="75">
        <f t="shared" si="9"/>
        <v>4760865.1732767774</v>
      </c>
      <c r="I67" s="75">
        <f t="shared" si="9"/>
        <v>5004094.2892941507</v>
      </c>
    </row>
    <row r="68" spans="2:10">
      <c r="B68" s="73"/>
      <c r="C68" s="89"/>
      <c r="D68" s="89"/>
      <c r="E68" s="89"/>
      <c r="F68" s="89"/>
      <c r="G68" s="89"/>
      <c r="H68" s="89"/>
      <c r="I68" s="89"/>
    </row>
    <row r="69" spans="2:10" ht="16.5">
      <c r="B69" s="11" t="s">
        <v>45</v>
      </c>
      <c r="C69" s="89">
        <f>SUM(C67:I67)</f>
        <v>26872354.283225082</v>
      </c>
      <c r="D69" s="89"/>
      <c r="E69" s="89"/>
      <c r="F69" s="89"/>
      <c r="G69" s="89"/>
      <c r="H69" s="89"/>
      <c r="I69" s="89"/>
    </row>
    <row r="70" spans="2:10">
      <c r="B70" s="73"/>
      <c r="C70" s="89"/>
      <c r="D70" s="89"/>
      <c r="E70" s="89"/>
      <c r="F70" s="89"/>
      <c r="G70" s="89"/>
      <c r="H70" s="89"/>
      <c r="I70" s="89"/>
    </row>
    <row r="71" spans="2:10" ht="16.5">
      <c r="B71" s="11" t="s">
        <v>46</v>
      </c>
      <c r="C71" s="89">
        <f>'1.Project Cost and MOF'!D12</f>
        <v>25785468.383523855</v>
      </c>
      <c r="D71" s="89"/>
      <c r="E71" s="89"/>
      <c r="F71" s="89"/>
      <c r="G71" s="89"/>
      <c r="H71" s="89"/>
      <c r="I71" s="89"/>
    </row>
    <row r="72" spans="2:10">
      <c r="B72" s="73"/>
      <c r="C72" s="88"/>
      <c r="D72" s="73"/>
      <c r="E72" s="73"/>
      <c r="F72" s="73"/>
      <c r="G72" s="73"/>
      <c r="H72" s="73"/>
      <c r="I72" s="73"/>
    </row>
    <row r="73" spans="2:10" ht="16.5">
      <c r="B73" s="11" t="s">
        <v>47</v>
      </c>
      <c r="C73" s="88">
        <f>C69-C71</f>
        <v>1086885.8997012265</v>
      </c>
      <c r="D73" s="73"/>
      <c r="E73" s="73"/>
      <c r="F73" s="73"/>
      <c r="G73" s="73"/>
      <c r="H73" s="73"/>
      <c r="I73" s="73"/>
    </row>
    <row r="75" spans="2:10" ht="35.1" customHeight="1">
      <c r="B75" s="398" t="s">
        <v>425</v>
      </c>
      <c r="C75" s="398"/>
      <c r="D75" s="398"/>
      <c r="E75" s="398"/>
      <c r="F75" s="398"/>
      <c r="G75" s="398"/>
      <c r="H75" s="398"/>
      <c r="I75" s="398"/>
      <c r="J75" s="398"/>
    </row>
    <row r="76" spans="2:10" ht="18.75">
      <c r="B76" s="368" t="s">
        <v>569</v>
      </c>
      <c r="C76" s="368"/>
      <c r="D76" s="368"/>
      <c r="E76" s="368"/>
      <c r="F76" s="368"/>
      <c r="G76" s="368"/>
      <c r="H76" s="368"/>
      <c r="I76" s="368"/>
    </row>
    <row r="77" spans="2:10">
      <c r="B77" s="73"/>
      <c r="C77" s="73"/>
      <c r="D77" s="73"/>
      <c r="E77" s="73"/>
      <c r="F77" s="73"/>
      <c r="G77" s="73"/>
      <c r="H77" s="73"/>
      <c r="I77" s="73"/>
    </row>
    <row r="78" spans="2:10" ht="15.75">
      <c r="B78" s="58" t="s">
        <v>0</v>
      </c>
      <c r="C78" s="58" t="s">
        <v>2</v>
      </c>
      <c r="D78" s="58" t="s">
        <v>3</v>
      </c>
      <c r="E78" s="58" t="s">
        <v>4</v>
      </c>
      <c r="F78" s="58" t="s">
        <v>5</v>
      </c>
      <c r="G78" s="58" t="s">
        <v>6</v>
      </c>
      <c r="H78" s="58" t="s">
        <v>168</v>
      </c>
      <c r="I78" s="58" t="s">
        <v>167</v>
      </c>
    </row>
    <row r="79" spans="2:10" ht="15.75">
      <c r="B79" s="55"/>
      <c r="C79" s="56"/>
      <c r="D79" s="56"/>
      <c r="E79" s="56"/>
      <c r="F79" s="56"/>
      <c r="G79" s="56"/>
      <c r="H79" s="56"/>
      <c r="I79" s="56"/>
    </row>
    <row r="80" spans="2:10">
      <c r="B80" s="76" t="s">
        <v>27</v>
      </c>
      <c r="C80" s="75">
        <f>'6.Cons Profit &amp; Loss'!B51</f>
        <v>819312.8818099607</v>
      </c>
      <c r="D80" s="75">
        <f>'6.Cons Profit &amp; Loss'!C51</f>
        <v>2263144.8877999256</v>
      </c>
      <c r="E80" s="75">
        <f>'6.Cons Profit &amp; Loss'!D51</f>
        <v>3789517.4340285533</v>
      </c>
      <c r="F80" s="75">
        <f>'6.Cons Profit &amp; Loss'!E51</f>
        <v>4777449.3443986513</v>
      </c>
      <c r="G80" s="75">
        <f>'6.Cons Profit &amp; Loss'!F51</f>
        <v>6000761.72805712</v>
      </c>
      <c r="H80" s="75">
        <f>'6.Cons Profit &amp; Loss'!G51</f>
        <v>7355647.6038192455</v>
      </c>
      <c r="I80" s="75">
        <f>'6.Cons Profit &amp; Loss'!H51</f>
        <v>8673048.6481437236</v>
      </c>
    </row>
    <row r="81" spans="2:10">
      <c r="B81" s="74"/>
      <c r="C81" s="74"/>
      <c r="D81" s="74"/>
      <c r="E81" s="74"/>
      <c r="F81" s="74"/>
      <c r="G81" s="74"/>
      <c r="H81" s="74"/>
      <c r="I81" s="74"/>
    </row>
    <row r="82" spans="2:10">
      <c r="B82" s="76" t="s">
        <v>124</v>
      </c>
      <c r="C82" s="415">
        <f>AVERAGE(C80:I80)</f>
        <v>4811268.9325795975</v>
      </c>
      <c r="D82" s="415"/>
      <c r="E82" s="415"/>
      <c r="F82" s="415"/>
      <c r="G82" s="415"/>
      <c r="H82" s="415"/>
      <c r="I82" s="415"/>
    </row>
    <row r="83" spans="2:10">
      <c r="B83" s="76" t="s">
        <v>125</v>
      </c>
      <c r="C83" s="415">
        <f>'1.Project Cost and MOF'!D12</f>
        <v>25785468.383523855</v>
      </c>
      <c r="D83" s="415"/>
      <c r="E83" s="415"/>
      <c r="F83" s="415"/>
      <c r="G83" s="415"/>
      <c r="H83" s="415"/>
      <c r="I83" s="415"/>
    </row>
    <row r="84" spans="2:10">
      <c r="B84" s="74"/>
      <c r="C84" s="74"/>
      <c r="D84" s="74"/>
      <c r="E84" s="74"/>
      <c r="F84" s="74"/>
      <c r="G84" s="74"/>
      <c r="H84" s="74"/>
      <c r="I84" s="74"/>
    </row>
    <row r="85" spans="2:10">
      <c r="B85" s="239" t="s">
        <v>126</v>
      </c>
      <c r="C85" s="416">
        <f>C82/C83</f>
        <v>0.18658838618009571</v>
      </c>
      <c r="D85" s="416"/>
      <c r="E85" s="416"/>
      <c r="F85" s="416"/>
      <c r="G85" s="416"/>
      <c r="H85" s="416"/>
      <c r="I85" s="416"/>
    </row>
    <row r="88" spans="2:10">
      <c r="B88" s="414" t="s">
        <v>426</v>
      </c>
      <c r="C88" s="414"/>
      <c r="D88" s="414"/>
      <c r="E88" s="414"/>
      <c r="F88" s="414"/>
      <c r="G88" s="414"/>
      <c r="H88" s="414"/>
      <c r="I88" s="414"/>
    </row>
    <row r="90" spans="2:10" ht="18.75">
      <c r="B90" s="368" t="s">
        <v>570</v>
      </c>
      <c r="C90" s="368"/>
      <c r="D90" s="368"/>
      <c r="E90" s="368"/>
      <c r="F90" s="368"/>
      <c r="G90" s="368"/>
      <c r="H90" s="368"/>
      <c r="I90" s="368"/>
      <c r="J90" s="368"/>
    </row>
    <row r="92" spans="2:10">
      <c r="B92" s="81" t="s">
        <v>0</v>
      </c>
      <c r="C92" s="81" t="s">
        <v>337</v>
      </c>
      <c r="D92" s="81" t="s">
        <v>2</v>
      </c>
      <c r="E92" s="81" t="s">
        <v>3</v>
      </c>
      <c r="F92" s="81" t="s">
        <v>4</v>
      </c>
      <c r="G92" s="81" t="s">
        <v>5</v>
      </c>
      <c r="H92" s="81" t="s">
        <v>6</v>
      </c>
      <c r="I92" s="81" t="s">
        <v>168</v>
      </c>
      <c r="J92" s="81" t="s">
        <v>167</v>
      </c>
    </row>
    <row r="93" spans="2:10">
      <c r="B93" s="82"/>
      <c r="C93" s="82"/>
      <c r="D93" s="83"/>
      <c r="E93" s="83"/>
      <c r="F93" s="83"/>
      <c r="G93" s="83"/>
      <c r="H93" s="83"/>
      <c r="I93" s="83"/>
      <c r="J93" s="83"/>
    </row>
    <row r="94" spans="2:10">
      <c r="B94" s="9" t="s">
        <v>278</v>
      </c>
      <c r="C94" s="84">
        <f>'1.Project Cost and MOF'!D12</f>
        <v>25785468.383523855</v>
      </c>
      <c r="D94" s="83"/>
      <c r="E94" s="83"/>
      <c r="F94" s="83"/>
      <c r="G94" s="83"/>
      <c r="H94" s="83"/>
      <c r="I94" s="83"/>
      <c r="J94" s="83"/>
    </row>
    <row r="95" spans="2:10">
      <c r="B95" s="9" t="str">
        <f>B58</f>
        <v>Profit after Tax &amp; Dividend</v>
      </c>
      <c r="C95" s="9"/>
      <c r="D95" s="20">
        <f>'6.Cons Profit &amp; Loss'!B51</f>
        <v>819312.8818099607</v>
      </c>
      <c r="E95" s="20">
        <f>'6.Cons Profit &amp; Loss'!C51</f>
        <v>2263144.8877999256</v>
      </c>
      <c r="F95" s="20">
        <f>'6.Cons Profit &amp; Loss'!D51</f>
        <v>3789517.4340285533</v>
      </c>
      <c r="G95" s="20">
        <f>'6.Cons Profit &amp; Loss'!E51</f>
        <v>4777449.3443986513</v>
      </c>
      <c r="H95" s="20">
        <f>'6.Cons Profit &amp; Loss'!F51</f>
        <v>6000761.72805712</v>
      </c>
      <c r="I95" s="20">
        <f>'6.Cons Profit &amp; Loss'!G51</f>
        <v>7355647.6038192455</v>
      </c>
      <c r="J95" s="20">
        <f>'6.Cons Profit &amp; Loss'!H51</f>
        <v>8673048.6481437236</v>
      </c>
    </row>
    <row r="96" spans="2:10">
      <c r="B96" s="9" t="str">
        <f>B60</f>
        <v>Add: Deprication</v>
      </c>
      <c r="C96" s="9"/>
      <c r="D96" s="72">
        <f>'6.Cons Profit &amp; Loss'!B42</f>
        <v>1078515.4634161398</v>
      </c>
      <c r="E96" s="72">
        <f>'6.Cons Profit &amp; Loss'!C42</f>
        <v>1078515.4634161398</v>
      </c>
      <c r="F96" s="72">
        <f>'6.Cons Profit &amp; Loss'!D42</f>
        <v>1078515.4634161398</v>
      </c>
      <c r="G96" s="72">
        <f>'6.Cons Profit &amp; Loss'!E42</f>
        <v>1078515.4634161398</v>
      </c>
      <c r="H96" s="72">
        <f>'6.Cons Profit &amp; Loss'!F42</f>
        <v>1078515.4634161398</v>
      </c>
      <c r="I96" s="72">
        <f>'6.Cons Profit &amp; Loss'!G42</f>
        <v>1078515.4634161398</v>
      </c>
      <c r="J96" s="72">
        <f>'6.Cons Profit &amp; Loss'!H42</f>
        <v>1078515.4634161398</v>
      </c>
    </row>
    <row r="97" spans="2:10">
      <c r="B97" s="9" t="str">
        <f>B61</f>
        <v>Add. Preliminary exp Written off</v>
      </c>
      <c r="C97" s="9"/>
      <c r="D97" s="72">
        <f>'6.Cons Profit &amp; Loss'!B43</f>
        <v>149729.20000000001</v>
      </c>
      <c r="E97" s="72">
        <f>'6.Cons Profit &amp; Loss'!C43</f>
        <v>149729.20000000001</v>
      </c>
      <c r="F97" s="72">
        <f>'6.Cons Profit &amp; Loss'!D43</f>
        <v>149729.20000000001</v>
      </c>
      <c r="G97" s="72">
        <f>'6.Cons Profit &amp; Loss'!E43</f>
        <v>149729.20000000001</v>
      </c>
      <c r="H97" s="72">
        <f>'6.Cons Profit &amp; Loss'!F43</f>
        <v>149729.20000000001</v>
      </c>
      <c r="I97" s="72">
        <f>'6.Cons Profit &amp; Loss'!G43</f>
        <v>0</v>
      </c>
      <c r="J97" s="72">
        <f>'6.Cons Profit &amp; Loss'!H43</f>
        <v>0</v>
      </c>
    </row>
    <row r="98" spans="2:10">
      <c r="B98" s="9" t="str">
        <f>B63</f>
        <v xml:space="preserve">Net Cash Accrual (A)      </v>
      </c>
      <c r="C98" s="9"/>
      <c r="D98" s="238">
        <f>SUM(D95:D97)</f>
        <v>2047557.5452261006</v>
      </c>
      <c r="E98" s="238">
        <f t="shared" ref="E98:J98" si="10">SUM(E95:E97)</f>
        <v>3491389.5512160659</v>
      </c>
      <c r="F98" s="238">
        <f t="shared" si="10"/>
        <v>5017762.0974446936</v>
      </c>
      <c r="G98" s="238">
        <f t="shared" si="10"/>
        <v>6005694.0078147911</v>
      </c>
      <c r="H98" s="238">
        <f t="shared" si="10"/>
        <v>7229006.3914732598</v>
      </c>
      <c r="I98" s="238">
        <f t="shared" si="10"/>
        <v>8434163.067235386</v>
      </c>
      <c r="J98" s="238">
        <f t="shared" si="10"/>
        <v>9751564.1115598641</v>
      </c>
    </row>
    <row r="99" spans="2:10">
      <c r="B99" s="9" t="s">
        <v>279</v>
      </c>
      <c r="C99" s="85"/>
      <c r="D99" s="57">
        <f>D98-C94</f>
        <v>-23737910.838297755</v>
      </c>
      <c r="E99" s="57">
        <f>D99+E98</f>
        <v>-20246521.287081689</v>
      </c>
      <c r="F99" s="57">
        <f>E99+F98</f>
        <v>-15228759.189636994</v>
      </c>
      <c r="G99" s="57">
        <f>F99+G98</f>
        <v>-9223065.1818222031</v>
      </c>
      <c r="H99" s="57">
        <f>G99+H98</f>
        <v>-1994058.7903489433</v>
      </c>
      <c r="I99" s="57">
        <f t="shared" ref="I99:J99" si="11">H99+I98</f>
        <v>6440104.2768864427</v>
      </c>
      <c r="J99" s="57">
        <f t="shared" si="11"/>
        <v>16191668.388446307</v>
      </c>
    </row>
    <row r="101" spans="2:10">
      <c r="B101" s="5" t="s">
        <v>280</v>
      </c>
      <c r="D101" s="51">
        <f>4+(-G99/H98)</f>
        <v>5.2758413372965016</v>
      </c>
    </row>
    <row r="103" spans="2:10">
      <c r="B103" s="414" t="s">
        <v>427</v>
      </c>
      <c r="C103" s="414"/>
      <c r="D103" s="414"/>
      <c r="E103" s="414"/>
      <c r="F103" s="414"/>
      <c r="G103" s="414"/>
      <c r="H103" s="414"/>
      <c r="I103" s="414"/>
      <c r="J103" s="414"/>
    </row>
    <row r="105" spans="2:10" ht="18.75">
      <c r="B105" s="368" t="s">
        <v>571</v>
      </c>
      <c r="C105" s="368"/>
      <c r="D105" s="368"/>
      <c r="E105" s="368"/>
      <c r="F105" s="368"/>
      <c r="G105" s="368"/>
      <c r="H105" s="368"/>
      <c r="I105" s="368"/>
    </row>
    <row r="107" spans="2:10" ht="15.75">
      <c r="B107" s="58" t="s">
        <v>0</v>
      </c>
      <c r="C107" s="58" t="s">
        <v>2</v>
      </c>
      <c r="D107" s="58" t="s">
        <v>3</v>
      </c>
      <c r="E107" s="58" t="s">
        <v>4</v>
      </c>
      <c r="F107" s="58" t="s">
        <v>5</v>
      </c>
      <c r="G107" s="58" t="s">
        <v>6</v>
      </c>
      <c r="H107" s="58" t="s">
        <v>168</v>
      </c>
      <c r="I107" s="58" t="s">
        <v>167</v>
      </c>
    </row>
    <row r="108" spans="2:10" ht="15.75">
      <c r="B108" s="55"/>
      <c r="C108" s="56"/>
      <c r="D108" s="56"/>
      <c r="E108" s="56"/>
      <c r="F108" s="56"/>
      <c r="G108" s="56"/>
      <c r="H108" s="56"/>
      <c r="I108" s="56"/>
    </row>
    <row r="109" spans="2:10">
      <c r="B109" s="74" t="s">
        <v>340</v>
      </c>
      <c r="C109" s="75">
        <f>'6.Cons Profit &amp; Loss'!B40</f>
        <v>3365224.8272663802</v>
      </c>
      <c r="D109" s="75">
        <f>'6.Cons Profit &amp; Loss'!C40</f>
        <v>5543841.6453839839</v>
      </c>
      <c r="E109" s="75">
        <f>'6.Cons Profit &amp; Loss'!D40</f>
        <v>7554310.1196326166</v>
      </c>
      <c r="F109" s="75">
        <f>'6.Cons Profit &amp; Loss'!E40</f>
        <v>8722534.9772600383</v>
      </c>
      <c r="G109" s="75">
        <f>'6.Cons Profit &amp; Loss'!F40</f>
        <v>10132121.04732275</v>
      </c>
      <c r="H109" s="75">
        <f>'6.Cons Profit &amp; Loss'!G40</f>
        <v>11483802.608385473</v>
      </c>
      <c r="I109" s="75">
        <f>'6.Cons Profit &amp; Loss'!H40</f>
        <v>12837579.660448253</v>
      </c>
    </row>
    <row r="110" spans="2:10">
      <c r="B110" s="74" t="s">
        <v>350</v>
      </c>
      <c r="C110" s="75">
        <f>'6.Cons Profit &amp; Loss'!B42</f>
        <v>1078515.4634161398</v>
      </c>
      <c r="D110" s="75">
        <f>'6.Cons Profit &amp; Loss'!C42</f>
        <v>1078515.4634161398</v>
      </c>
      <c r="E110" s="75">
        <f>'6.Cons Profit &amp; Loss'!D42</f>
        <v>1078515.4634161398</v>
      </c>
      <c r="F110" s="75">
        <f>'6.Cons Profit &amp; Loss'!E42</f>
        <v>1078515.4634161398</v>
      </c>
      <c r="G110" s="75">
        <f>'6.Cons Profit &amp; Loss'!F42</f>
        <v>1078515.4634161398</v>
      </c>
      <c r="H110" s="75">
        <f>'6.Cons Profit &amp; Loss'!G42</f>
        <v>1078515.4634161398</v>
      </c>
      <c r="I110" s="75">
        <f>'6.Cons Profit &amp; Loss'!H42</f>
        <v>1078515.4634161398</v>
      </c>
    </row>
    <row r="111" spans="2:10">
      <c r="B111" s="74" t="s">
        <v>351</v>
      </c>
      <c r="C111" s="75">
        <f>'6.Cons Profit &amp; Loss'!B43</f>
        <v>149729.20000000001</v>
      </c>
      <c r="D111" s="75">
        <f>'6.Cons Profit &amp; Loss'!C43</f>
        <v>149729.20000000001</v>
      </c>
      <c r="E111" s="75">
        <f>'6.Cons Profit &amp; Loss'!D43</f>
        <v>149729.20000000001</v>
      </c>
      <c r="F111" s="75">
        <f>'6.Cons Profit &amp; Loss'!E43</f>
        <v>149729.20000000001</v>
      </c>
      <c r="G111" s="75">
        <f>'6.Cons Profit &amp; Loss'!F43</f>
        <v>149729.20000000001</v>
      </c>
      <c r="H111" s="75">
        <f>'6.Cons Profit &amp; Loss'!G43</f>
        <v>0</v>
      </c>
      <c r="I111" s="75">
        <f>'6.Cons Profit &amp; Loss'!H43</f>
        <v>0</v>
      </c>
    </row>
    <row r="112" spans="2:10">
      <c r="B112" s="74" t="s">
        <v>748</v>
      </c>
      <c r="C112" s="75">
        <f>'8.Cash Flow '!C27</f>
        <v>1141730.1263301964</v>
      </c>
      <c r="D112" s="75">
        <f>'8.Cash Flow '!D27</f>
        <v>908145.74403896695</v>
      </c>
      <c r="E112" s="75">
        <f>'8.Cash Flow '!E27</f>
        <v>592861.04006775666</v>
      </c>
      <c r="F112" s="75">
        <f>'8.Cash Flow '!F27</f>
        <v>223261.98846461301</v>
      </c>
      <c r="G112" s="75">
        <f>'8.Cash Flow '!G27</f>
        <v>-210008.18679392769</v>
      </c>
      <c r="H112" s="75">
        <f>'8.Cash Flow '!H27</f>
        <v>-717918.16100602027</v>
      </c>
      <c r="I112" s="75">
        <f>'8.Cash Flow '!I27</f>
        <v>-1313326.1919192749</v>
      </c>
    </row>
    <row r="113" spans="2:18">
      <c r="B113" s="74"/>
      <c r="C113" s="75"/>
      <c r="D113" s="75"/>
      <c r="E113" s="75"/>
      <c r="F113" s="75"/>
      <c r="G113" s="75"/>
      <c r="H113" s="75"/>
      <c r="I113" s="75"/>
    </row>
    <row r="114" spans="2:18">
      <c r="B114" s="76" t="s">
        <v>1</v>
      </c>
      <c r="C114" s="77">
        <f>SUM(C109:C113)</f>
        <v>5735199.6170127168</v>
      </c>
      <c r="D114" s="77">
        <f t="shared" ref="D114:I114" si="12">SUM(D109:D113)</f>
        <v>7680232.052839091</v>
      </c>
      <c r="E114" s="77">
        <f t="shared" si="12"/>
        <v>9375415.823116513</v>
      </c>
      <c r="F114" s="77">
        <f t="shared" si="12"/>
        <v>10174041.629140791</v>
      </c>
      <c r="G114" s="77">
        <f t="shared" si="12"/>
        <v>11150357.523944963</v>
      </c>
      <c r="H114" s="77">
        <f t="shared" si="12"/>
        <v>11844399.910795594</v>
      </c>
      <c r="I114" s="77">
        <f t="shared" si="12"/>
        <v>12602768.931945119</v>
      </c>
    </row>
    <row r="115" spans="2:18">
      <c r="B115" s="74"/>
      <c r="C115" s="74"/>
      <c r="D115" s="74"/>
      <c r="E115" s="74"/>
      <c r="F115" s="74"/>
      <c r="G115" s="74"/>
      <c r="H115" s="74"/>
      <c r="I115" s="74"/>
    </row>
    <row r="116" spans="2:18">
      <c r="B116" s="74" t="s">
        <v>281</v>
      </c>
      <c r="C116" s="78">
        <f>'8.Cash Flow '!C26+'8.Cash Flow '!C27</f>
        <v>1953340.3531894661</v>
      </c>
      <c r="D116" s="78">
        <f>'8.Cash Flow '!D26+'8.Cash Flow '!D27</f>
        <v>2738314.9146573315</v>
      </c>
      <c r="E116" s="78">
        <f>'8.Cash Flow '!E26+'8.Cash Flow '!E27</f>
        <v>2738314.9146573315</v>
      </c>
      <c r="F116" s="78">
        <f>'8.Cash Flow '!F26+'8.Cash Flow '!F27</f>
        <v>2738314.9146573315</v>
      </c>
      <c r="G116" s="78">
        <f>'8.Cash Flow '!G26+'8.Cash Flow '!G27</f>
        <v>2738314.914657332</v>
      </c>
      <c r="H116" s="78">
        <f>'8.Cash Flow '!H26+'8.Cash Flow '!H27</f>
        <v>2738314.9146573315</v>
      </c>
      <c r="I116" s="78">
        <f>'8.Cash Flow '!I26+'8.Cash Flow '!I27</f>
        <v>2738314.914657332</v>
      </c>
    </row>
    <row r="117" spans="2:18">
      <c r="B117" s="74"/>
      <c r="C117" s="74"/>
      <c r="D117" s="74"/>
      <c r="E117" s="74"/>
      <c r="F117" s="74"/>
      <c r="G117" s="74"/>
      <c r="H117" s="74"/>
      <c r="I117" s="74"/>
    </row>
    <row r="118" spans="2:18">
      <c r="B118" s="76" t="s">
        <v>338</v>
      </c>
      <c r="C118" s="79">
        <f>C114/C116</f>
        <v>2.9360984672477226</v>
      </c>
      <c r="D118" s="79">
        <f t="shared" ref="D118:I118" si="13">D114/D116</f>
        <v>2.8047292923575897</v>
      </c>
      <c r="E118" s="79">
        <f t="shared" si="13"/>
        <v>3.4237902196467194</v>
      </c>
      <c r="F118" s="79">
        <f t="shared" si="13"/>
        <v>3.7154388542685033</v>
      </c>
      <c r="G118" s="79">
        <f t="shared" si="13"/>
        <v>4.0719777934453898</v>
      </c>
      <c r="H118" s="79">
        <f t="shared" si="13"/>
        <v>4.3254338087253137</v>
      </c>
      <c r="I118" s="79">
        <f t="shared" si="13"/>
        <v>4.6023811448736192</v>
      </c>
    </row>
    <row r="119" spans="2:18">
      <c r="B119" s="73"/>
      <c r="C119" s="73"/>
      <c r="D119" s="73"/>
      <c r="E119" s="73"/>
      <c r="F119" s="73"/>
      <c r="G119" s="73"/>
      <c r="H119" s="73"/>
      <c r="I119" s="73"/>
    </row>
    <row r="120" spans="2:18">
      <c r="B120" s="73" t="s">
        <v>339</v>
      </c>
      <c r="C120" s="80">
        <f>AVERAGE(C118:I118)</f>
        <v>3.6971213686521227</v>
      </c>
      <c r="D120" s="73"/>
      <c r="E120" s="73"/>
      <c r="F120" s="73"/>
      <c r="G120" s="73"/>
      <c r="H120" s="73"/>
      <c r="I120" s="73"/>
    </row>
    <row r="122" spans="2:18" ht="29.45" customHeight="1">
      <c r="B122" s="398" t="s">
        <v>428</v>
      </c>
      <c r="C122" s="398"/>
      <c r="D122" s="398"/>
      <c r="E122" s="398"/>
      <c r="F122" s="398"/>
      <c r="G122" s="398"/>
      <c r="H122" s="398"/>
      <c r="I122" s="398"/>
      <c r="J122" s="398"/>
    </row>
    <row r="124" spans="2:18" ht="21">
      <c r="B124" s="409" t="s">
        <v>572</v>
      </c>
      <c r="C124" s="410"/>
      <c r="D124" s="410"/>
      <c r="E124" s="410"/>
      <c r="F124" s="410"/>
      <c r="G124" s="410"/>
      <c r="H124" s="410"/>
      <c r="I124" s="410"/>
      <c r="K124" s="411"/>
      <c r="L124" s="411"/>
      <c r="M124" s="411"/>
      <c r="N124" s="411"/>
      <c r="O124" s="411"/>
      <c r="P124" s="411"/>
      <c r="Q124" s="411"/>
      <c r="R124" s="411"/>
    </row>
    <row r="125" spans="2:18">
      <c r="B125" s="65" t="s">
        <v>352</v>
      </c>
      <c r="C125" s="66" t="s">
        <v>2</v>
      </c>
      <c r="D125" s="66" t="s">
        <v>3</v>
      </c>
      <c r="E125" s="66" t="s">
        <v>4</v>
      </c>
      <c r="F125" s="66" t="s">
        <v>5</v>
      </c>
      <c r="G125" s="66" t="s">
        <v>6</v>
      </c>
      <c r="H125" s="66" t="s">
        <v>168</v>
      </c>
      <c r="I125" s="66" t="s">
        <v>167</v>
      </c>
    </row>
    <row r="126" spans="2:18">
      <c r="B126" s="60" t="str">
        <f>'6.Cons Profit &amp; Loss'!A8</f>
        <v>Faclitiy 1 - Cleaning &amp; Grading</v>
      </c>
      <c r="C126" s="288">
        <f>'6.Cons Profit &amp; Loss'!B8*(1+$M$127)</f>
        <v>17655592.236537151</v>
      </c>
      <c r="D126" s="288">
        <f>'6.Cons Profit &amp; Loss'!C8*(1+$M$127)</f>
        <v>22706973.982016884</v>
      </c>
      <c r="E126" s="288">
        <f>'6.Cons Profit &amp; Loss'!D8*(1+$M$127)</f>
        <v>27428292.391074747</v>
      </c>
      <c r="F126" s="288">
        <f>'6.Cons Profit &amp; Loss'!E8*(1+$M$127)</f>
        <v>30907586.243488498</v>
      </c>
      <c r="G126" s="288">
        <f>'6.Cons Profit &amp; Loss'!F8*(1+$M$127)</f>
        <v>34371588.250329748</v>
      </c>
      <c r="H126" s="288">
        <f>'6.Cons Profit &amp; Loss'!G8*(1+$M$127)</f>
        <v>37837790.522720993</v>
      </c>
      <c r="I126" s="288">
        <f>'6.Cons Profit &amp; Loss'!H8*(1+$M$127)</f>
        <v>41306193.060662255</v>
      </c>
    </row>
    <row r="127" spans="2:18">
      <c r="B127" s="60" t="str">
        <f>'6.Cons Profit &amp; Loss'!A9</f>
        <v>Faclitiy 2 - Processing Unit- Dal Mill</v>
      </c>
      <c r="C127" s="288">
        <f>'6.Cons Profit &amp; Loss'!B9*(1+$M$127)</f>
        <v>8815841.1317970008</v>
      </c>
      <c r="D127" s="288">
        <f>'6.Cons Profit &amp; Loss'!C9*(1+$M$127)</f>
        <v>14384099.820809253</v>
      </c>
      <c r="E127" s="288">
        <f>'6.Cons Profit &amp; Loss'!D9*(1+$M$127)</f>
        <v>20262891.800340004</v>
      </c>
      <c r="F127" s="288">
        <f>'6.Cons Profit &amp; Loss'!E9*(1+$M$127)</f>
        <v>25384625.894565005</v>
      </c>
      <c r="G127" s="288">
        <f>'6.Cons Profit &amp; Loss'!F9*(1+$M$127)</f>
        <v>30506359.988790005</v>
      </c>
      <c r="H127" s="288">
        <f>'6.Cons Profit &amp; Loss'!G9*(1+$M$127)</f>
        <v>35628094.083015002</v>
      </c>
      <c r="I127" s="288">
        <f>'6.Cons Profit &amp; Loss'!H9*(1+$M$127)</f>
        <v>40749828.177240007</v>
      </c>
      <c r="L127" s="5" t="s">
        <v>374</v>
      </c>
      <c r="M127" s="246">
        <v>0.05</v>
      </c>
    </row>
    <row r="128" spans="2:18">
      <c r="B128" s="60" t="str">
        <f>'6.Cons Profit &amp; Loss'!A10</f>
        <v>Faclitiy 3 - Warehouse</v>
      </c>
      <c r="C128" s="288">
        <f>'6.Cons Profit &amp; Loss'!B10*(1+$M$127)</f>
        <v>907200</v>
      </c>
      <c r="D128" s="288">
        <f>'6.Cons Profit &amp; Loss'!C10*(1+$M$127)</f>
        <v>1017450.0000000002</v>
      </c>
      <c r="E128" s="288">
        <f>'6.Cons Profit &amp; Loss'!D10*(1+$M$127)</f>
        <v>1134000.0000000002</v>
      </c>
      <c r="F128" s="288">
        <f>'6.Cons Profit &amp; Loss'!E10*(1+$M$127)</f>
        <v>1197000.0000000005</v>
      </c>
      <c r="G128" s="288">
        <f>'6.Cons Profit &amp; Loss'!F10*(1+$M$127)</f>
        <v>1260000.0000000005</v>
      </c>
      <c r="H128" s="288">
        <f>'6.Cons Profit &amp; Loss'!G10*(1+$M$127)</f>
        <v>1260000.0000000005</v>
      </c>
      <c r="I128" s="288">
        <f>'6.Cons Profit &amp; Loss'!H10*(1+$M$127)</f>
        <v>1260000.0000000005</v>
      </c>
      <c r="L128" s="5" t="s">
        <v>375</v>
      </c>
      <c r="M128" s="246">
        <v>0.05</v>
      </c>
    </row>
    <row r="129" spans="2:11">
      <c r="B129" s="60" t="str">
        <f>'6.Cons Profit &amp; Loss'!A11</f>
        <v xml:space="preserve">Faclitiy 4 - Custom Hiring </v>
      </c>
      <c r="C129" s="288">
        <f>'6.Cons Profit &amp; Loss'!B11*(1+$M$127)</f>
        <v>680400</v>
      </c>
      <c r="D129" s="288">
        <f>'6.Cons Profit &amp; Loss'!C11*(1+$M$127)</f>
        <v>718200</v>
      </c>
      <c r="E129" s="288">
        <f>'6.Cons Profit &amp; Loss'!D11*(1+$M$127)</f>
        <v>756000</v>
      </c>
      <c r="F129" s="288">
        <f>'6.Cons Profit &amp; Loss'!E11*(1+$M$127)</f>
        <v>756000</v>
      </c>
      <c r="G129" s="288">
        <f>'6.Cons Profit &amp; Loss'!F11*(1+$M$127)</f>
        <v>756000</v>
      </c>
      <c r="H129" s="288">
        <f>'6.Cons Profit &amp; Loss'!G11*(1+$M$127)</f>
        <v>756000</v>
      </c>
      <c r="I129" s="288">
        <f>'6.Cons Profit &amp; Loss'!H11*(1+$M$127)</f>
        <v>756000</v>
      </c>
    </row>
    <row r="130" spans="2:11">
      <c r="B130" s="60" t="str">
        <f>'6.Cons Profit &amp; Loss'!A12</f>
        <v>Faclitiy 5 - Agri Input Centre</v>
      </c>
      <c r="C130" s="288">
        <f>'6.Cons Profit &amp; Loss'!B12*(1+$M$127)</f>
        <v>61589664.569671884</v>
      </c>
      <c r="D130" s="288">
        <f>'6.Cons Profit &amp; Loss'!C12*(1+$M$127)</f>
        <v>73433830.833070293</v>
      </c>
      <c r="E130" s="288">
        <f>'6.Cons Profit &amp; Loss'!D12*(1+$M$127)</f>
        <v>82839899.713593766</v>
      </c>
      <c r="F130" s="288">
        <f>'6.Cons Profit &amp; Loss'!E12*(1+$M$127)</f>
        <v>88381030.129218772</v>
      </c>
      <c r="G130" s="288">
        <f>'6.Cons Profit &amp; Loss'!F12*(1+$M$127)</f>
        <v>93922160.544843763</v>
      </c>
      <c r="H130" s="288">
        <f>'6.Cons Profit &amp; Loss'!G12*(1+$M$127)</f>
        <v>99463290.960468769</v>
      </c>
      <c r="I130" s="288">
        <f>'6.Cons Profit &amp; Loss'!H12*(1+$M$127)</f>
        <v>105004421.37609378</v>
      </c>
      <c r="K130" s="4"/>
    </row>
    <row r="131" spans="2:11">
      <c r="B131" s="60" t="str">
        <f>'6.Cons Profit &amp; Loss'!A13</f>
        <v>Facility 6 - Processing Unit - Horti Commodity</v>
      </c>
      <c r="C131" s="288">
        <f>'6.Cons Profit &amp; Loss'!B13*(1+$M$127)</f>
        <v>0</v>
      </c>
      <c r="D131" s="288">
        <f>'6.Cons Profit &amp; Loss'!C13*(1+$M$127)</f>
        <v>0</v>
      </c>
      <c r="E131" s="288">
        <f>'6.Cons Profit &amp; Loss'!D13*(1+$M$127)</f>
        <v>0</v>
      </c>
      <c r="F131" s="288">
        <f>'6.Cons Profit &amp; Loss'!E13*(1+$M$127)</f>
        <v>0</v>
      </c>
      <c r="G131" s="288">
        <f>'6.Cons Profit &amp; Loss'!F13*(1+$M$127)</f>
        <v>0</v>
      </c>
      <c r="H131" s="288">
        <f>'6.Cons Profit &amp; Loss'!G13*(1+$M$127)</f>
        <v>0</v>
      </c>
      <c r="I131" s="288">
        <f>'6.Cons Profit &amp; Loss'!H13*(1+$M$127)</f>
        <v>0</v>
      </c>
    </row>
    <row r="132" spans="2:11">
      <c r="B132" s="60">
        <f>'6.Cons Profit &amp; Loss'!A14</f>
        <v>0</v>
      </c>
      <c r="C132" s="288">
        <f>'6.Cons Profit &amp; Loss'!B14*(1+$M$127)</f>
        <v>0</v>
      </c>
      <c r="D132" s="288">
        <f>'6.Cons Profit &amp; Loss'!C14*(1+$M$127)</f>
        <v>0</v>
      </c>
      <c r="E132" s="288">
        <f>'6.Cons Profit &amp; Loss'!D14*(1+$M$127)</f>
        <v>0</v>
      </c>
      <c r="F132" s="288">
        <f>'6.Cons Profit &amp; Loss'!E14*(1+$M$127)</f>
        <v>0</v>
      </c>
      <c r="G132" s="288">
        <f>'6.Cons Profit &amp; Loss'!F14*(1+$M$127)</f>
        <v>0</v>
      </c>
      <c r="H132" s="288">
        <f>'6.Cons Profit &amp; Loss'!G14*(1+$M$127)</f>
        <v>0</v>
      </c>
      <c r="I132" s="288">
        <f>'6.Cons Profit &amp; Loss'!H14*(1+$M$127)</f>
        <v>0</v>
      </c>
    </row>
    <row r="133" spans="2:11">
      <c r="B133" s="60" t="s">
        <v>353</v>
      </c>
      <c r="C133" s="288">
        <f>SUM(C126:C132)</f>
        <v>89648697.938006043</v>
      </c>
      <c r="D133" s="288">
        <f t="shared" ref="D133:I133" si="14">SUM(D126:D132)</f>
        <v>112260554.63589643</v>
      </c>
      <c r="E133" s="288">
        <f t="shared" si="14"/>
        <v>132421083.90500852</v>
      </c>
      <c r="F133" s="288">
        <f t="shared" si="14"/>
        <v>146626242.26727229</v>
      </c>
      <c r="G133" s="288">
        <f t="shared" si="14"/>
        <v>160816108.7839635</v>
      </c>
      <c r="H133" s="288">
        <f t="shared" si="14"/>
        <v>174945175.56620476</v>
      </c>
      <c r="I133" s="288">
        <f t="shared" si="14"/>
        <v>189076442.61399603</v>
      </c>
    </row>
    <row r="134" spans="2:11">
      <c r="B134" s="60" t="s">
        <v>354</v>
      </c>
      <c r="C134" s="288"/>
      <c r="D134" s="288"/>
      <c r="E134" s="288"/>
      <c r="F134" s="288"/>
      <c r="G134" s="288"/>
      <c r="H134" s="288"/>
      <c r="I134" s="288"/>
    </row>
    <row r="135" spans="2:11">
      <c r="B135" s="60" t="s">
        <v>355</v>
      </c>
      <c r="C135" s="288">
        <f>'6.Cons Profit &amp; Loss'!B36</f>
        <v>4115066.6847970001</v>
      </c>
      <c r="D135" s="288">
        <f>'6.Cons Profit &amp; Loss'!C36</f>
        <v>4412754.5225842502</v>
      </c>
      <c r="E135" s="288">
        <f>'6.Cons Profit &amp; Loss'!D36</f>
        <v>4710442.3603715003</v>
      </c>
      <c r="F135" s="288">
        <f>'6.Cons Profit &amp; Loss'!E36</f>
        <v>5008130.1981587503</v>
      </c>
      <c r="G135" s="288">
        <f>'6.Cons Profit &amp; Loss'!F36</f>
        <v>5305818.0359460004</v>
      </c>
      <c r="H135" s="288">
        <f>'6.Cons Profit &amp; Loss'!G36</f>
        <v>5603505.8737332504</v>
      </c>
      <c r="I135" s="288">
        <f>'6.Cons Profit &amp; Loss'!H36</f>
        <v>5901193.7115205005</v>
      </c>
    </row>
    <row r="136" spans="2:11">
      <c r="B136" s="60" t="s">
        <v>308</v>
      </c>
      <c r="C136" s="288">
        <f>'6.Cons Profit &amp; Loss'!B25*(1+M127)</f>
        <v>81794391.850339472</v>
      </c>
      <c r="D136" s="288">
        <f>'6.Cons Profit &amp; Loss'!C25*(1+N127)</f>
        <v>96958217.770980746</v>
      </c>
      <c r="E136" s="288">
        <f>'6.Cons Profit &amp; Loss'!D25*(1+O127)</f>
        <v>113850565.52476589</v>
      </c>
      <c r="F136" s="288">
        <f>'6.Cons Profit &amp; Loss'!E25*(1+P127)</f>
        <v>125913375.07912624</v>
      </c>
      <c r="G136" s="288">
        <f>'6.Cons Profit &amp; Loss'!F25*(1+Q127)</f>
        <v>137720259.75860125</v>
      </c>
      <c r="H136" s="288">
        <f>'6.Cons Profit &amp; Loss'!G25*(1+R127)</f>
        <v>149527144.43807626</v>
      </c>
      <c r="I136" s="288">
        <f>'6.Cons Profit &amp; Loss'!H25*(1+S127)</f>
        <v>161334029.11755127</v>
      </c>
    </row>
    <row r="137" spans="2:11">
      <c r="B137" s="60" t="s">
        <v>356</v>
      </c>
      <c r="C137" s="288">
        <f t="shared" ref="C137:I137" si="15">SUM(C135:C136)</f>
        <v>85909458.535136476</v>
      </c>
      <c r="D137" s="288">
        <f t="shared" si="15"/>
        <v>101370972.29356499</v>
      </c>
      <c r="E137" s="288">
        <f t="shared" si="15"/>
        <v>118561007.88513739</v>
      </c>
      <c r="F137" s="288">
        <f t="shared" si="15"/>
        <v>130921505.27728499</v>
      </c>
      <c r="G137" s="288">
        <f t="shared" si="15"/>
        <v>143026077.79454726</v>
      </c>
      <c r="H137" s="288">
        <f t="shared" si="15"/>
        <v>155130650.31180951</v>
      </c>
      <c r="I137" s="288">
        <f t="shared" si="15"/>
        <v>167235222.82907176</v>
      </c>
    </row>
    <row r="138" spans="2:11">
      <c r="B138" s="62" t="s">
        <v>357</v>
      </c>
      <c r="C138" s="290">
        <f t="shared" ref="C138:I138" si="16">+C133-C137</f>
        <v>3739239.4028695673</v>
      </c>
      <c r="D138" s="290">
        <f t="shared" si="16"/>
        <v>10889582.342331439</v>
      </c>
      <c r="E138" s="290">
        <f t="shared" si="16"/>
        <v>13860076.019871131</v>
      </c>
      <c r="F138" s="290">
        <f t="shared" si="16"/>
        <v>15704736.989987299</v>
      </c>
      <c r="G138" s="290">
        <f t="shared" si="16"/>
        <v>17790030.989416242</v>
      </c>
      <c r="H138" s="290">
        <f t="shared" si="16"/>
        <v>19814525.254395247</v>
      </c>
      <c r="I138" s="290">
        <f t="shared" si="16"/>
        <v>21841219.784924269</v>
      </c>
    </row>
    <row r="139" spans="2:11">
      <c r="B139" s="8"/>
      <c r="C139" s="63"/>
      <c r="D139" s="63"/>
      <c r="E139" s="63"/>
      <c r="F139" s="63"/>
      <c r="G139" s="63"/>
      <c r="H139" s="63"/>
      <c r="I139" s="63"/>
    </row>
    <row r="140" spans="2:11">
      <c r="B140" s="65" t="s">
        <v>358</v>
      </c>
      <c r="C140" s="66" t="s">
        <v>2</v>
      </c>
      <c r="D140" s="66" t="s">
        <v>3</v>
      </c>
      <c r="E140" s="66" t="s">
        <v>4</v>
      </c>
      <c r="F140" s="66" t="s">
        <v>5</v>
      </c>
      <c r="G140" s="66" t="s">
        <v>6</v>
      </c>
      <c r="H140" s="66" t="s">
        <v>168</v>
      </c>
      <c r="I140" s="66" t="s">
        <v>167</v>
      </c>
    </row>
    <row r="141" spans="2:11">
      <c r="B141" s="60" t="str">
        <f t="shared" ref="B141:B147" si="17">B126</f>
        <v>Faclitiy 1 - Cleaning &amp; Grading</v>
      </c>
      <c r="C141" s="61">
        <f>'6.Cons Profit &amp; Loss'!B8</f>
        <v>16814849.749083001</v>
      </c>
      <c r="D141" s="61">
        <f>'6.Cons Profit &amp; Loss'!C8</f>
        <v>21625689.506682746</v>
      </c>
      <c r="E141" s="61">
        <f>'6.Cons Profit &amp; Loss'!D8</f>
        <v>26122183.229594994</v>
      </c>
      <c r="F141" s="61">
        <f>'6.Cons Profit &amp; Loss'!E8</f>
        <v>29435796.422369998</v>
      </c>
      <c r="G141" s="61">
        <f>'6.Cons Profit &amp; Loss'!F8</f>
        <v>32734845.952694997</v>
      </c>
      <c r="H141" s="61">
        <f>'6.Cons Profit &amp; Loss'!G8</f>
        <v>36035990.974019989</v>
      </c>
      <c r="I141" s="61">
        <f>'6.Cons Profit &amp; Loss'!H8</f>
        <v>39339231.486345001</v>
      </c>
    </row>
    <row r="142" spans="2:11">
      <c r="B142" s="60" t="str">
        <f t="shared" si="17"/>
        <v>Faclitiy 2 - Processing Unit- Dal Mill</v>
      </c>
      <c r="C142" s="61">
        <f>'6.Cons Profit &amp; Loss'!B9</f>
        <v>8396039.1731400006</v>
      </c>
      <c r="D142" s="61">
        <f>'6.Cons Profit &amp; Loss'!C9</f>
        <v>13699142.686485002</v>
      </c>
      <c r="E142" s="61">
        <f>'6.Cons Profit &amp; Loss'!D9</f>
        <v>19297992.190800004</v>
      </c>
      <c r="F142" s="61">
        <f>'6.Cons Profit &amp; Loss'!E9</f>
        <v>24175834.185300004</v>
      </c>
      <c r="G142" s="61">
        <f>'6.Cons Profit &amp; Loss'!F9</f>
        <v>29053676.179800004</v>
      </c>
      <c r="H142" s="61">
        <f>'6.Cons Profit &amp; Loss'!G9</f>
        <v>33931518.1743</v>
      </c>
      <c r="I142" s="61">
        <f>'6.Cons Profit &amp; Loss'!H9</f>
        <v>38809360.168800004</v>
      </c>
    </row>
    <row r="143" spans="2:11">
      <c r="B143" s="60" t="str">
        <f t="shared" si="17"/>
        <v>Faclitiy 3 - Warehouse</v>
      </c>
      <c r="C143" s="61">
        <f>'6.Cons Profit &amp; Loss'!B10</f>
        <v>864000</v>
      </c>
      <c r="D143" s="61">
        <f>'6.Cons Profit &amp; Loss'!C10</f>
        <v>969000.00000000023</v>
      </c>
      <c r="E143" s="61">
        <f>'6.Cons Profit &amp; Loss'!D10</f>
        <v>1080000.0000000002</v>
      </c>
      <c r="F143" s="61">
        <f>'6.Cons Profit &amp; Loss'!E10</f>
        <v>1140000.0000000005</v>
      </c>
      <c r="G143" s="61">
        <f>'6.Cons Profit &amp; Loss'!F10</f>
        <v>1200000.0000000005</v>
      </c>
      <c r="H143" s="61">
        <f>'6.Cons Profit &amp; Loss'!G10</f>
        <v>1200000.0000000005</v>
      </c>
      <c r="I143" s="61">
        <f>'6.Cons Profit &amp; Loss'!H10</f>
        <v>1200000.0000000005</v>
      </c>
    </row>
    <row r="144" spans="2:11">
      <c r="B144" s="60" t="str">
        <f t="shared" si="17"/>
        <v xml:space="preserve">Faclitiy 4 - Custom Hiring </v>
      </c>
      <c r="C144" s="61">
        <f>'6.Cons Profit &amp; Loss'!B11</f>
        <v>648000</v>
      </c>
      <c r="D144" s="61">
        <f>'6.Cons Profit &amp; Loss'!C11</f>
        <v>684000</v>
      </c>
      <c r="E144" s="61">
        <f>'6.Cons Profit &amp; Loss'!D11</f>
        <v>720000</v>
      </c>
      <c r="F144" s="61">
        <f>'6.Cons Profit &amp; Loss'!E11</f>
        <v>720000</v>
      </c>
      <c r="G144" s="61">
        <f>'6.Cons Profit &amp; Loss'!F11</f>
        <v>720000</v>
      </c>
      <c r="H144" s="61">
        <f>'6.Cons Profit &amp; Loss'!G11</f>
        <v>720000</v>
      </c>
      <c r="I144" s="61">
        <f>'6.Cons Profit &amp; Loss'!H11</f>
        <v>720000</v>
      </c>
    </row>
    <row r="145" spans="2:15">
      <c r="B145" s="60" t="str">
        <f t="shared" si="17"/>
        <v>Faclitiy 5 - Agri Input Centre</v>
      </c>
      <c r="C145" s="61">
        <f>'6.Cons Profit &amp; Loss'!B12</f>
        <v>58656823.399687506</v>
      </c>
      <c r="D145" s="61">
        <f>'6.Cons Profit &amp; Loss'!C12</f>
        <v>69936981.745781228</v>
      </c>
      <c r="E145" s="61">
        <f>'6.Cons Profit &amp; Loss'!D12</f>
        <v>78895142.584375009</v>
      </c>
      <c r="F145" s="61">
        <f>'6.Cons Profit &amp; Loss'!E12</f>
        <v>84172409.646875024</v>
      </c>
      <c r="G145" s="61">
        <f>'6.Cons Profit &amp; Loss'!F12</f>
        <v>89449676.709375009</v>
      </c>
      <c r="H145" s="61">
        <f>'6.Cons Profit &amp; Loss'!G12</f>
        <v>94726943.771875009</v>
      </c>
      <c r="I145" s="61">
        <f>'6.Cons Profit &amp; Loss'!H12</f>
        <v>100004210.83437502</v>
      </c>
    </row>
    <row r="146" spans="2:15">
      <c r="B146" s="60" t="str">
        <f t="shared" si="17"/>
        <v>Facility 6 - Processing Unit - Horti Commodity</v>
      </c>
      <c r="C146" s="61">
        <f>'6.Cons Profit &amp; Loss'!B13</f>
        <v>0</v>
      </c>
      <c r="D146" s="61">
        <f>'6.Cons Profit &amp; Loss'!C13</f>
        <v>0</v>
      </c>
      <c r="E146" s="61">
        <f>'6.Cons Profit &amp; Loss'!D13</f>
        <v>0</v>
      </c>
      <c r="F146" s="61">
        <f>'6.Cons Profit &amp; Loss'!E13</f>
        <v>0</v>
      </c>
      <c r="G146" s="61">
        <f>'6.Cons Profit &amp; Loss'!F13</f>
        <v>0</v>
      </c>
      <c r="H146" s="61">
        <f>'6.Cons Profit &amp; Loss'!G13</f>
        <v>0</v>
      </c>
      <c r="I146" s="61">
        <f>'6.Cons Profit &amp; Loss'!H13</f>
        <v>0</v>
      </c>
    </row>
    <row r="147" spans="2:15">
      <c r="B147" s="60">
        <f t="shared" si="17"/>
        <v>0</v>
      </c>
      <c r="C147" s="61">
        <f>'6.Cons Profit &amp; Loss'!B14</f>
        <v>0</v>
      </c>
      <c r="D147" s="61">
        <f>'6.Cons Profit &amp; Loss'!C14</f>
        <v>0</v>
      </c>
      <c r="E147" s="61">
        <f>'6.Cons Profit &amp; Loss'!D14</f>
        <v>0</v>
      </c>
      <c r="F147" s="61">
        <f>'6.Cons Profit &amp; Loss'!E14</f>
        <v>0</v>
      </c>
      <c r="G147" s="61">
        <f>'6.Cons Profit &amp; Loss'!F14</f>
        <v>0</v>
      </c>
      <c r="H147" s="61">
        <f>'6.Cons Profit &amp; Loss'!G14</f>
        <v>0</v>
      </c>
      <c r="I147" s="61">
        <f>'6.Cons Profit &amp; Loss'!H14</f>
        <v>0</v>
      </c>
    </row>
    <row r="148" spans="2:15">
      <c r="B148" s="60" t="s">
        <v>353</v>
      </c>
      <c r="C148" s="61">
        <f>SUM(C141:C147)</f>
        <v>85379712.321910501</v>
      </c>
      <c r="D148" s="61">
        <f t="shared" ref="D148:I148" si="18">SUM(D141:D147)</f>
        <v>106914813.93894897</v>
      </c>
      <c r="E148" s="61">
        <f t="shared" si="18"/>
        <v>126115318.00477001</v>
      </c>
      <c r="F148" s="61">
        <f t="shared" si="18"/>
        <v>139644040.25454503</v>
      </c>
      <c r="G148" s="61">
        <f t="shared" si="18"/>
        <v>153158198.84187001</v>
      </c>
      <c r="H148" s="61">
        <f t="shared" si="18"/>
        <v>166614452.92019498</v>
      </c>
      <c r="I148" s="61">
        <f t="shared" si="18"/>
        <v>180072802.48952001</v>
      </c>
    </row>
    <row r="149" spans="2:15">
      <c r="B149" s="60" t="s">
        <v>354</v>
      </c>
      <c r="C149" s="64"/>
      <c r="D149" s="61"/>
      <c r="E149" s="61"/>
      <c r="F149" s="61"/>
      <c r="G149" s="61"/>
      <c r="H149" s="61"/>
      <c r="I149" s="61"/>
    </row>
    <row r="150" spans="2:15">
      <c r="B150" s="60" t="s">
        <v>355</v>
      </c>
      <c r="C150" s="288">
        <f>'6.Cons Profit &amp; Loss'!B36</f>
        <v>4115066.6847970001</v>
      </c>
      <c r="D150" s="288">
        <f>'6.Cons Profit &amp; Loss'!C36</f>
        <v>4412754.5225842502</v>
      </c>
      <c r="E150" s="288">
        <f>'6.Cons Profit &amp; Loss'!D36</f>
        <v>4710442.3603715003</v>
      </c>
      <c r="F150" s="288">
        <f>'6.Cons Profit &amp; Loss'!E36</f>
        <v>5008130.1981587503</v>
      </c>
      <c r="G150" s="288">
        <f>'6.Cons Profit &amp; Loss'!F36</f>
        <v>5305818.0359460004</v>
      </c>
      <c r="H150" s="288">
        <f>'6.Cons Profit &amp; Loss'!G36</f>
        <v>5603505.8737332504</v>
      </c>
      <c r="I150" s="288">
        <f>'6.Cons Profit &amp; Loss'!H36</f>
        <v>5901193.7115205005</v>
      </c>
    </row>
    <row r="151" spans="2:15">
      <c r="B151" s="60" t="s">
        <v>308</v>
      </c>
      <c r="C151" s="288">
        <f>'6.Cons Profit &amp; Loss'!B25*(1+$M$128)</f>
        <v>81794391.850339472</v>
      </c>
      <c r="D151" s="288">
        <f>'6.Cons Profit &amp; Loss'!C25*(1+$M$128)</f>
        <v>101806128.65952979</v>
      </c>
      <c r="E151" s="288">
        <f>'6.Cons Profit &amp; Loss'!D25*(1+$M$128)</f>
        <v>119543093.80100419</v>
      </c>
      <c r="F151" s="288">
        <f>'6.Cons Profit &amp; Loss'!E25*(1+$M$128)</f>
        <v>132209043.83308256</v>
      </c>
      <c r="G151" s="288">
        <f>'6.Cons Profit &amp; Loss'!F25*(1+$M$128)</f>
        <v>144606272.74653131</v>
      </c>
      <c r="H151" s="288">
        <f>'6.Cons Profit &amp; Loss'!G25*(1+$M$128)</f>
        <v>157003501.65998009</v>
      </c>
      <c r="I151" s="288">
        <f>'6.Cons Profit &amp; Loss'!H25*(1+$M$128)</f>
        <v>169400730.57342884</v>
      </c>
    </row>
    <row r="152" spans="2:15">
      <c r="B152" s="60" t="s">
        <v>356</v>
      </c>
      <c r="C152" s="288">
        <f t="shared" ref="C152:I152" si="19">SUM(C150:C151)</f>
        <v>85909458.535136476</v>
      </c>
      <c r="D152" s="288">
        <f t="shared" si="19"/>
        <v>106218883.18211403</v>
      </c>
      <c r="E152" s="288">
        <f t="shared" si="19"/>
        <v>124253536.16137569</v>
      </c>
      <c r="F152" s="288">
        <f t="shared" si="19"/>
        <v>137217174.0312413</v>
      </c>
      <c r="G152" s="288">
        <f t="shared" si="19"/>
        <v>149912090.78247732</v>
      </c>
      <c r="H152" s="288">
        <f t="shared" si="19"/>
        <v>162607007.53371334</v>
      </c>
      <c r="I152" s="288">
        <f t="shared" si="19"/>
        <v>175301924.28494933</v>
      </c>
    </row>
    <row r="153" spans="2:15">
      <c r="B153" s="62" t="s">
        <v>357</v>
      </c>
      <c r="C153" s="290">
        <f t="shared" ref="C153:I153" si="20">+C148-C152</f>
        <v>-529746.21322597563</v>
      </c>
      <c r="D153" s="290">
        <f t="shared" si="20"/>
        <v>695930.75683493912</v>
      </c>
      <c r="E153" s="290">
        <f t="shared" si="20"/>
        <v>1861781.8433943242</v>
      </c>
      <c r="F153" s="290">
        <f t="shared" si="20"/>
        <v>2426866.2233037353</v>
      </c>
      <c r="G153" s="290">
        <f t="shared" si="20"/>
        <v>3246108.0593926907</v>
      </c>
      <c r="H153" s="290">
        <f t="shared" si="20"/>
        <v>4007445.3864816427</v>
      </c>
      <c r="I153" s="290">
        <f t="shared" si="20"/>
        <v>4770878.2045706809</v>
      </c>
      <c r="N153" s="4"/>
      <c r="O153" s="6"/>
    </row>
    <row r="154" spans="2:15">
      <c r="B154" s="8"/>
      <c r="C154" s="63"/>
      <c r="D154" s="63"/>
      <c r="E154" s="63"/>
      <c r="F154" s="63"/>
      <c r="G154" s="63"/>
      <c r="H154" s="63"/>
      <c r="I154" s="63"/>
    </row>
    <row r="155" spans="2:15">
      <c r="B155" s="65" t="s">
        <v>359</v>
      </c>
      <c r="C155" s="66" t="s">
        <v>2</v>
      </c>
      <c r="D155" s="66" t="s">
        <v>3</v>
      </c>
      <c r="E155" s="66" t="s">
        <v>4</v>
      </c>
      <c r="F155" s="66" t="s">
        <v>5</v>
      </c>
      <c r="G155" s="66" t="s">
        <v>6</v>
      </c>
      <c r="H155" s="66" t="s">
        <v>168</v>
      </c>
      <c r="I155" s="66" t="s">
        <v>167</v>
      </c>
    </row>
    <row r="156" spans="2:15">
      <c r="B156" s="60" t="str">
        <f t="shared" ref="B156:B162" si="21">B141</f>
        <v>Faclitiy 1 - Cleaning &amp; Grading</v>
      </c>
      <c r="C156" s="288">
        <f>'6.Cons Profit &amp; Loss'!B8*(1-$M$127)</f>
        <v>15974107.261628849</v>
      </c>
      <c r="D156" s="288">
        <f>'6.Cons Profit &amp; Loss'!C8*(1-$M$127)</f>
        <v>20544405.031348608</v>
      </c>
      <c r="E156" s="288">
        <f>'6.Cons Profit &amp; Loss'!D8*(1-$M$127)</f>
        <v>24816074.068115242</v>
      </c>
      <c r="F156" s="288">
        <f>'6.Cons Profit &amp; Loss'!E8*(1-$M$127)</f>
        <v>27964006.601251498</v>
      </c>
      <c r="G156" s="288">
        <f>'6.Cons Profit &amp; Loss'!F8*(1-$M$127)</f>
        <v>31098103.655060247</v>
      </c>
      <c r="H156" s="288">
        <f>'6.Cons Profit &amp; Loss'!G8*(1-$M$127)</f>
        <v>34234191.425318986</v>
      </c>
      <c r="I156" s="288">
        <f>'6.Cons Profit &amp; Loss'!H8*(1-$M$127)</f>
        <v>37372269.912027746</v>
      </c>
    </row>
    <row r="157" spans="2:15">
      <c r="B157" s="60" t="str">
        <f t="shared" si="21"/>
        <v>Faclitiy 2 - Processing Unit- Dal Mill</v>
      </c>
      <c r="C157" s="288">
        <f>'6.Cons Profit &amp; Loss'!B9*(1-$M$127)</f>
        <v>7976237.2144830003</v>
      </c>
      <c r="D157" s="288">
        <f>'6.Cons Profit &amp; Loss'!C9*(1-$M$127)</f>
        <v>13014185.552160751</v>
      </c>
      <c r="E157" s="288">
        <f>'6.Cons Profit &amp; Loss'!D9*(1-$M$127)</f>
        <v>18333092.581260003</v>
      </c>
      <c r="F157" s="288">
        <f>'6.Cons Profit &amp; Loss'!E9*(1-$M$127)</f>
        <v>22967042.476035003</v>
      </c>
      <c r="G157" s="288">
        <f>'6.Cons Profit &amp; Loss'!F9*(1-$M$127)</f>
        <v>27600992.370810002</v>
      </c>
      <c r="H157" s="288">
        <f>'6.Cons Profit &amp; Loss'!G9*(1-$M$127)</f>
        <v>32234942.265584998</v>
      </c>
      <c r="I157" s="288">
        <f>'6.Cons Profit &amp; Loss'!H9*(1-$M$127)</f>
        <v>36868892.160360001</v>
      </c>
    </row>
    <row r="158" spans="2:15">
      <c r="B158" s="60" t="str">
        <f t="shared" si="21"/>
        <v>Faclitiy 3 - Warehouse</v>
      </c>
      <c r="C158" s="288">
        <f>'6.Cons Profit &amp; Loss'!B10*(1-$M$127)</f>
        <v>820800</v>
      </c>
      <c r="D158" s="288">
        <f>'6.Cons Profit &amp; Loss'!C10*(1-$M$127)</f>
        <v>920550.00000000023</v>
      </c>
      <c r="E158" s="288">
        <f>'6.Cons Profit &amp; Loss'!D10*(1-$M$127)</f>
        <v>1026000.0000000001</v>
      </c>
      <c r="F158" s="288">
        <f>'6.Cons Profit &amp; Loss'!E10*(1-$M$127)</f>
        <v>1083000.0000000005</v>
      </c>
      <c r="G158" s="288">
        <f>'6.Cons Profit &amp; Loss'!F10*(1-$M$127)</f>
        <v>1140000.0000000005</v>
      </c>
      <c r="H158" s="288">
        <f>'6.Cons Profit &amp; Loss'!G10*(1-$M$127)</f>
        <v>1140000.0000000005</v>
      </c>
      <c r="I158" s="288">
        <f>'6.Cons Profit &amp; Loss'!H10*(1-$M$127)</f>
        <v>1140000.0000000005</v>
      </c>
    </row>
    <row r="159" spans="2:15">
      <c r="B159" s="60" t="str">
        <f t="shared" si="21"/>
        <v xml:space="preserve">Faclitiy 4 - Custom Hiring </v>
      </c>
      <c r="C159" s="288">
        <f>'6.Cons Profit &amp; Loss'!B11*(1-$M$127)</f>
        <v>615600</v>
      </c>
      <c r="D159" s="288">
        <f>'6.Cons Profit &amp; Loss'!C11*(1-$M$127)</f>
        <v>649800</v>
      </c>
      <c r="E159" s="288">
        <f>'6.Cons Profit &amp; Loss'!D11*(1-$M$127)</f>
        <v>684000</v>
      </c>
      <c r="F159" s="288">
        <f>'6.Cons Profit &amp; Loss'!E11*(1-$M$127)</f>
        <v>684000</v>
      </c>
      <c r="G159" s="288">
        <f>'6.Cons Profit &amp; Loss'!F11*(1-$M$127)</f>
        <v>684000</v>
      </c>
      <c r="H159" s="288">
        <f>'6.Cons Profit &amp; Loss'!G11*(1-$M$127)</f>
        <v>684000</v>
      </c>
      <c r="I159" s="288">
        <f>'6.Cons Profit &amp; Loss'!H11*(1-$M$127)</f>
        <v>684000</v>
      </c>
    </row>
    <row r="160" spans="2:15">
      <c r="B160" s="60" t="str">
        <f t="shared" si="21"/>
        <v>Faclitiy 5 - Agri Input Centre</v>
      </c>
      <c r="C160" s="288">
        <f>'6.Cons Profit &amp; Loss'!B12*(1-$M$127)</f>
        <v>55723982.229703128</v>
      </c>
      <c r="D160" s="288">
        <f>'6.Cons Profit &amp; Loss'!C12*(1-$M$127)</f>
        <v>66440132.658492163</v>
      </c>
      <c r="E160" s="288">
        <f>'6.Cons Profit &amp; Loss'!D12*(1-$M$127)</f>
        <v>74950385.455156252</v>
      </c>
      <c r="F160" s="288">
        <f>'6.Cons Profit &amp; Loss'!E12*(1-$M$127)</f>
        <v>79963789.164531276</v>
      </c>
      <c r="G160" s="288">
        <f>'6.Cons Profit &amp; Loss'!F12*(1-$M$127)</f>
        <v>84977192.873906255</v>
      </c>
      <c r="H160" s="288">
        <f>'6.Cons Profit &amp; Loss'!G12*(1-$M$127)</f>
        <v>89990596.583281249</v>
      </c>
      <c r="I160" s="288">
        <f>'6.Cons Profit &amp; Loss'!H12*(1-$M$127)</f>
        <v>95004000.292656273</v>
      </c>
    </row>
    <row r="161" spans="2:9">
      <c r="B161" s="60" t="str">
        <f t="shared" si="21"/>
        <v>Facility 6 - Processing Unit - Horti Commodity</v>
      </c>
      <c r="C161" s="288">
        <f>'6.Cons Profit &amp; Loss'!B13*(1-$M$127)</f>
        <v>0</v>
      </c>
      <c r="D161" s="288">
        <f>'6.Cons Profit &amp; Loss'!C13*(1-$M$127)</f>
        <v>0</v>
      </c>
      <c r="E161" s="288">
        <f>'6.Cons Profit &amp; Loss'!D13*(1-$M$127)</f>
        <v>0</v>
      </c>
      <c r="F161" s="288">
        <f>'6.Cons Profit &amp; Loss'!E13*(1-$M$127)</f>
        <v>0</v>
      </c>
      <c r="G161" s="288">
        <f>'6.Cons Profit &amp; Loss'!F13*(1-$M$127)</f>
        <v>0</v>
      </c>
      <c r="H161" s="288">
        <f>'6.Cons Profit &amp; Loss'!G13*(1-$M$127)</f>
        <v>0</v>
      </c>
      <c r="I161" s="288">
        <f>'6.Cons Profit &amp; Loss'!H13*(1-$M$127)</f>
        <v>0</v>
      </c>
    </row>
    <row r="162" spans="2:9">
      <c r="B162" s="60">
        <f t="shared" si="21"/>
        <v>0</v>
      </c>
      <c r="C162" s="288">
        <f>'6.Cons Profit &amp; Loss'!B14*(1-$M$127)</f>
        <v>0</v>
      </c>
      <c r="D162" s="288">
        <f>'6.Cons Profit &amp; Loss'!C14*(1-$M$127)</f>
        <v>0</v>
      </c>
      <c r="E162" s="288">
        <f>'6.Cons Profit &amp; Loss'!D14*(1-$M$127)</f>
        <v>0</v>
      </c>
      <c r="F162" s="288">
        <f>'6.Cons Profit &amp; Loss'!E14*(1-$M$127)</f>
        <v>0</v>
      </c>
      <c r="G162" s="288">
        <f>'6.Cons Profit &amp; Loss'!F14*(1-$M$127)</f>
        <v>0</v>
      </c>
      <c r="H162" s="288">
        <f>'6.Cons Profit &amp; Loss'!G14*(1-$M$127)</f>
        <v>0</v>
      </c>
      <c r="I162" s="288">
        <f>'6.Cons Profit &amp; Loss'!H14*(1-$M$127)</f>
        <v>0</v>
      </c>
    </row>
    <row r="163" spans="2:9">
      <c r="B163" s="60" t="s">
        <v>353</v>
      </c>
      <c r="C163" s="288">
        <f>SUM(C156:C162)</f>
        <v>81110726.705814987</v>
      </c>
      <c r="D163" s="288">
        <f t="shared" ref="D163:I163" si="22">SUM(D156:D162)</f>
        <v>101569073.24200152</v>
      </c>
      <c r="E163" s="288">
        <f t="shared" si="22"/>
        <v>119809552.1045315</v>
      </c>
      <c r="F163" s="288">
        <f t="shared" si="22"/>
        <v>132661838.24181777</v>
      </c>
      <c r="G163" s="288">
        <f t="shared" si="22"/>
        <v>145500288.89977652</v>
      </c>
      <c r="H163" s="288">
        <f t="shared" si="22"/>
        <v>158283730.27418524</v>
      </c>
      <c r="I163" s="288">
        <f t="shared" si="22"/>
        <v>171069162.36504403</v>
      </c>
    </row>
    <row r="164" spans="2:9">
      <c r="B164" s="60" t="s">
        <v>354</v>
      </c>
      <c r="C164" s="288"/>
      <c r="D164" s="288"/>
      <c r="E164" s="288"/>
      <c r="F164" s="288"/>
      <c r="G164" s="288"/>
      <c r="H164" s="288"/>
      <c r="I164" s="288"/>
    </row>
    <row r="165" spans="2:9">
      <c r="B165" s="60" t="s">
        <v>355</v>
      </c>
      <c r="C165" s="288">
        <f>'6.Cons Profit &amp; Loss'!B36</f>
        <v>4115066.6847970001</v>
      </c>
      <c r="D165" s="288">
        <f>'6.Cons Profit &amp; Loss'!C36</f>
        <v>4412754.5225842502</v>
      </c>
      <c r="E165" s="288">
        <f>'6.Cons Profit &amp; Loss'!D36</f>
        <v>4710442.3603715003</v>
      </c>
      <c r="F165" s="288">
        <f>'6.Cons Profit &amp; Loss'!E36</f>
        <v>5008130.1981587503</v>
      </c>
      <c r="G165" s="288">
        <f>'6.Cons Profit &amp; Loss'!F36</f>
        <v>5305818.0359460004</v>
      </c>
      <c r="H165" s="288">
        <f>'6.Cons Profit &amp; Loss'!G36</f>
        <v>5603505.8737332504</v>
      </c>
      <c r="I165" s="288">
        <f>'6.Cons Profit &amp; Loss'!H36</f>
        <v>5901193.7115205005</v>
      </c>
    </row>
    <row r="166" spans="2:9">
      <c r="B166" s="60" t="s">
        <v>308</v>
      </c>
      <c r="C166" s="288">
        <f>'6.Cons Profit &amp; Loss'!B25*(1-$M$127)</f>
        <v>74004449.769354761</v>
      </c>
      <c r="D166" s="288">
        <f>'6.Cons Profit &amp; Loss'!C25*(1-$M$127)</f>
        <v>92110306.882431701</v>
      </c>
      <c r="E166" s="288">
        <f>'6.Cons Profit &amp; Loss'!D25*(1-$M$127)</f>
        <v>108158037.2485276</v>
      </c>
      <c r="F166" s="288">
        <f>'6.Cons Profit &amp; Loss'!E25*(1-$M$127)</f>
        <v>119617706.32516992</v>
      </c>
      <c r="G166" s="288">
        <f>'6.Cons Profit &amp; Loss'!F25*(1-$M$127)</f>
        <v>130834246.77067117</v>
      </c>
      <c r="H166" s="288">
        <f>'6.Cons Profit &amp; Loss'!G25*(1-$M$127)</f>
        <v>142050787.21617243</v>
      </c>
      <c r="I166" s="288">
        <f>'6.Cons Profit &amp; Loss'!H25*(1-$M$127)</f>
        <v>153267327.66167369</v>
      </c>
    </row>
    <row r="167" spans="2:9">
      <c r="B167" s="60" t="s">
        <v>356</v>
      </c>
      <c r="C167" s="288">
        <f t="shared" ref="C167:I167" si="23">SUM(C165:C166)</f>
        <v>78119516.454151765</v>
      </c>
      <c r="D167" s="288">
        <f t="shared" si="23"/>
        <v>96523061.405015945</v>
      </c>
      <c r="E167" s="288">
        <f t="shared" si="23"/>
        <v>112868479.6088991</v>
      </c>
      <c r="F167" s="288">
        <f t="shared" si="23"/>
        <v>124625836.52332868</v>
      </c>
      <c r="G167" s="288">
        <f t="shared" si="23"/>
        <v>136140064.80661717</v>
      </c>
      <c r="H167" s="288">
        <f t="shared" si="23"/>
        <v>147654293.08990568</v>
      </c>
      <c r="I167" s="288">
        <f t="shared" si="23"/>
        <v>159168521.37319419</v>
      </c>
    </row>
    <row r="168" spans="2:9">
      <c r="B168" s="62" t="s">
        <v>357</v>
      </c>
      <c r="C168" s="290">
        <f t="shared" ref="C168:I168" si="24">+C163-C167</f>
        <v>2991210.2516632229</v>
      </c>
      <c r="D168" s="290">
        <f t="shared" si="24"/>
        <v>5046011.8369855732</v>
      </c>
      <c r="E168" s="290">
        <f t="shared" si="24"/>
        <v>6941072.4956323951</v>
      </c>
      <c r="F168" s="290">
        <f t="shared" si="24"/>
        <v>8036001.7184890956</v>
      </c>
      <c r="G168" s="290">
        <f t="shared" si="24"/>
        <v>9360224.0931593478</v>
      </c>
      <c r="H168" s="290">
        <f t="shared" si="24"/>
        <v>10629437.184279561</v>
      </c>
      <c r="I168" s="290">
        <f t="shared" si="24"/>
        <v>11900640.99184984</v>
      </c>
    </row>
    <row r="169" spans="2:9">
      <c r="C169" s="63"/>
      <c r="D169" s="63"/>
      <c r="E169" s="63"/>
      <c r="F169" s="63"/>
      <c r="G169" s="63"/>
      <c r="H169" s="63"/>
      <c r="I169" s="63"/>
    </row>
    <row r="170" spans="2:9">
      <c r="B170" s="65" t="s">
        <v>360</v>
      </c>
      <c r="C170" s="66" t="s">
        <v>2</v>
      </c>
      <c r="D170" s="66" t="s">
        <v>3</v>
      </c>
      <c r="E170" s="66" t="s">
        <v>4</v>
      </c>
      <c r="F170" s="66" t="s">
        <v>5</v>
      </c>
      <c r="G170" s="66" t="s">
        <v>6</v>
      </c>
      <c r="H170" s="66" t="s">
        <v>168</v>
      </c>
      <c r="I170" s="66" t="s">
        <v>167</v>
      </c>
    </row>
    <row r="171" spans="2:9">
      <c r="B171" s="60" t="str">
        <f t="shared" ref="B171:B177" si="25">B156</f>
        <v>Faclitiy 1 - Cleaning &amp; Grading</v>
      </c>
      <c r="C171" s="61">
        <f>'6.Cons Profit &amp; Loss'!B8</f>
        <v>16814849.749083001</v>
      </c>
      <c r="D171" s="61">
        <f>'6.Cons Profit &amp; Loss'!C8</f>
        <v>21625689.506682746</v>
      </c>
      <c r="E171" s="61">
        <f>'6.Cons Profit &amp; Loss'!D8</f>
        <v>26122183.229594994</v>
      </c>
      <c r="F171" s="61">
        <f>'6.Cons Profit &amp; Loss'!E8</f>
        <v>29435796.422369998</v>
      </c>
      <c r="G171" s="61">
        <f>'6.Cons Profit &amp; Loss'!F8</f>
        <v>32734845.952694997</v>
      </c>
      <c r="H171" s="61">
        <f>'6.Cons Profit &amp; Loss'!G8</f>
        <v>36035990.974019989</v>
      </c>
      <c r="I171" s="61">
        <f>'6.Cons Profit &amp; Loss'!H8</f>
        <v>39339231.486345001</v>
      </c>
    </row>
    <row r="172" spans="2:9">
      <c r="B172" s="60" t="str">
        <f t="shared" si="25"/>
        <v>Faclitiy 2 - Processing Unit- Dal Mill</v>
      </c>
      <c r="C172" s="61">
        <f>'6.Cons Profit &amp; Loss'!B9</f>
        <v>8396039.1731400006</v>
      </c>
      <c r="D172" s="61">
        <f>'6.Cons Profit &amp; Loss'!C9</f>
        <v>13699142.686485002</v>
      </c>
      <c r="E172" s="61">
        <f>'6.Cons Profit &amp; Loss'!D9</f>
        <v>19297992.190800004</v>
      </c>
      <c r="F172" s="61">
        <f>'6.Cons Profit &amp; Loss'!E9</f>
        <v>24175834.185300004</v>
      </c>
      <c r="G172" s="61">
        <f>'6.Cons Profit &amp; Loss'!F9</f>
        <v>29053676.179800004</v>
      </c>
      <c r="H172" s="61">
        <f>'6.Cons Profit &amp; Loss'!G9</f>
        <v>33931518.1743</v>
      </c>
      <c r="I172" s="61">
        <f>'6.Cons Profit &amp; Loss'!H9</f>
        <v>38809360.168800004</v>
      </c>
    </row>
    <row r="173" spans="2:9">
      <c r="B173" s="60" t="str">
        <f t="shared" si="25"/>
        <v>Faclitiy 3 - Warehouse</v>
      </c>
      <c r="C173" s="61">
        <f>'6.Cons Profit &amp; Loss'!B10</f>
        <v>864000</v>
      </c>
      <c r="D173" s="61">
        <f>'6.Cons Profit &amp; Loss'!C10</f>
        <v>969000.00000000023</v>
      </c>
      <c r="E173" s="61">
        <f>'6.Cons Profit &amp; Loss'!D10</f>
        <v>1080000.0000000002</v>
      </c>
      <c r="F173" s="61">
        <f>'6.Cons Profit &amp; Loss'!E10</f>
        <v>1140000.0000000005</v>
      </c>
      <c r="G173" s="61">
        <f>'6.Cons Profit &amp; Loss'!F10</f>
        <v>1200000.0000000005</v>
      </c>
      <c r="H173" s="61">
        <f>'6.Cons Profit &amp; Loss'!G10</f>
        <v>1200000.0000000005</v>
      </c>
      <c r="I173" s="61">
        <f>'6.Cons Profit &amp; Loss'!H10</f>
        <v>1200000.0000000005</v>
      </c>
    </row>
    <row r="174" spans="2:9">
      <c r="B174" s="60" t="str">
        <f t="shared" si="25"/>
        <v xml:space="preserve">Faclitiy 4 - Custom Hiring </v>
      </c>
      <c r="C174" s="61">
        <f>'6.Cons Profit &amp; Loss'!B11</f>
        <v>648000</v>
      </c>
      <c r="D174" s="61">
        <f>'6.Cons Profit &amp; Loss'!C11</f>
        <v>684000</v>
      </c>
      <c r="E174" s="61">
        <f>'6.Cons Profit &amp; Loss'!D11</f>
        <v>720000</v>
      </c>
      <c r="F174" s="61">
        <f>'6.Cons Profit &amp; Loss'!E11</f>
        <v>720000</v>
      </c>
      <c r="G174" s="61">
        <f>'6.Cons Profit &amp; Loss'!F11</f>
        <v>720000</v>
      </c>
      <c r="H174" s="61">
        <f>'6.Cons Profit &amp; Loss'!G11</f>
        <v>720000</v>
      </c>
      <c r="I174" s="61">
        <f>'6.Cons Profit &amp; Loss'!H11</f>
        <v>720000</v>
      </c>
    </row>
    <row r="175" spans="2:9">
      <c r="B175" s="60" t="str">
        <f t="shared" si="25"/>
        <v>Faclitiy 5 - Agri Input Centre</v>
      </c>
      <c r="C175" s="61">
        <f>'6.Cons Profit &amp; Loss'!B12</f>
        <v>58656823.399687506</v>
      </c>
      <c r="D175" s="61">
        <f>'6.Cons Profit &amp; Loss'!C12</f>
        <v>69936981.745781228</v>
      </c>
      <c r="E175" s="61">
        <f>'6.Cons Profit &amp; Loss'!D12</f>
        <v>78895142.584375009</v>
      </c>
      <c r="F175" s="61">
        <f>'6.Cons Profit &amp; Loss'!E12</f>
        <v>84172409.646875024</v>
      </c>
      <c r="G175" s="61">
        <f>'6.Cons Profit &amp; Loss'!F12</f>
        <v>89449676.709375009</v>
      </c>
      <c r="H175" s="61">
        <f>'6.Cons Profit &amp; Loss'!G12</f>
        <v>94726943.771875009</v>
      </c>
      <c r="I175" s="61">
        <f>'6.Cons Profit &amp; Loss'!H12</f>
        <v>100004210.83437502</v>
      </c>
    </row>
    <row r="176" spans="2:9">
      <c r="B176" s="60" t="str">
        <f t="shared" si="25"/>
        <v>Facility 6 - Processing Unit - Horti Commodity</v>
      </c>
      <c r="C176" s="61">
        <f>'6.Cons Profit &amp; Loss'!B13</f>
        <v>0</v>
      </c>
      <c r="D176" s="61">
        <f>'6.Cons Profit &amp; Loss'!C13</f>
        <v>0</v>
      </c>
      <c r="E176" s="61">
        <f>'6.Cons Profit &amp; Loss'!D13</f>
        <v>0</v>
      </c>
      <c r="F176" s="61">
        <f>'6.Cons Profit &amp; Loss'!E13</f>
        <v>0</v>
      </c>
      <c r="G176" s="61">
        <f>'6.Cons Profit &amp; Loss'!F13</f>
        <v>0</v>
      </c>
      <c r="H176" s="61">
        <f>'6.Cons Profit &amp; Loss'!G13</f>
        <v>0</v>
      </c>
      <c r="I176" s="61">
        <f>'6.Cons Profit &amp; Loss'!H13</f>
        <v>0</v>
      </c>
    </row>
    <row r="177" spans="2:13">
      <c r="B177" s="60">
        <f t="shared" si="25"/>
        <v>0</v>
      </c>
      <c r="C177" s="61">
        <f>'6.Cons Profit &amp; Loss'!B14</f>
        <v>0</v>
      </c>
      <c r="D177" s="61">
        <f>'6.Cons Profit &amp; Loss'!C14</f>
        <v>0</v>
      </c>
      <c r="E177" s="61">
        <f>'6.Cons Profit &amp; Loss'!D14</f>
        <v>0</v>
      </c>
      <c r="F177" s="61">
        <f>'6.Cons Profit &amp; Loss'!E14</f>
        <v>0</v>
      </c>
      <c r="G177" s="61">
        <f>'6.Cons Profit &amp; Loss'!F14</f>
        <v>0</v>
      </c>
      <c r="H177" s="61">
        <f>'6.Cons Profit &amp; Loss'!G14</f>
        <v>0</v>
      </c>
      <c r="I177" s="61">
        <f>'6.Cons Profit &amp; Loss'!H14</f>
        <v>0</v>
      </c>
    </row>
    <row r="178" spans="2:13">
      <c r="B178" s="60" t="s">
        <v>353</v>
      </c>
      <c r="C178" s="61">
        <f>SUM(C171:C177)</f>
        <v>85379712.321910501</v>
      </c>
      <c r="D178" s="61">
        <f t="shared" ref="D178:I178" si="26">SUM(D171:D177)</f>
        <v>106914813.93894897</v>
      </c>
      <c r="E178" s="61">
        <f t="shared" si="26"/>
        <v>126115318.00477001</v>
      </c>
      <c r="F178" s="61">
        <f t="shared" si="26"/>
        <v>139644040.25454503</v>
      </c>
      <c r="G178" s="61">
        <f t="shared" si="26"/>
        <v>153158198.84187001</v>
      </c>
      <c r="H178" s="61">
        <f t="shared" si="26"/>
        <v>166614452.92019498</v>
      </c>
      <c r="I178" s="61">
        <f t="shared" si="26"/>
        <v>180072802.48952001</v>
      </c>
    </row>
    <row r="179" spans="2:13">
      <c r="B179" s="60" t="s">
        <v>354</v>
      </c>
      <c r="C179" s="61"/>
      <c r="D179" s="61"/>
      <c r="E179" s="61"/>
      <c r="F179" s="61"/>
      <c r="G179" s="61"/>
      <c r="H179" s="61"/>
      <c r="I179" s="61"/>
    </row>
    <row r="180" spans="2:13">
      <c r="B180" s="60" t="s">
        <v>355</v>
      </c>
      <c r="C180" s="61">
        <f>'6.Cons Profit &amp; Loss'!B36</f>
        <v>4115066.6847970001</v>
      </c>
      <c r="D180" s="61">
        <f>'6.Cons Profit &amp; Loss'!C36</f>
        <v>4412754.5225842502</v>
      </c>
      <c r="E180" s="61">
        <f>'6.Cons Profit &amp; Loss'!D36</f>
        <v>4710442.3603715003</v>
      </c>
      <c r="F180" s="61">
        <f>'6.Cons Profit &amp; Loss'!E36</f>
        <v>5008130.1981587503</v>
      </c>
      <c r="G180" s="61">
        <f>'6.Cons Profit &amp; Loss'!F36</f>
        <v>5305818.0359460004</v>
      </c>
      <c r="H180" s="61">
        <f>'6.Cons Profit &amp; Loss'!G36</f>
        <v>5603505.8737332504</v>
      </c>
      <c r="I180" s="61">
        <f>'6.Cons Profit &amp; Loss'!H36</f>
        <v>5901193.7115205005</v>
      </c>
    </row>
    <row r="181" spans="2:13">
      <c r="B181" s="60" t="s">
        <v>308</v>
      </c>
      <c r="C181" s="61">
        <f>'6.Cons Profit &amp; Loss'!B25*(1-$M$128)</f>
        <v>74004449.769354761</v>
      </c>
      <c r="D181" s="61">
        <f>'6.Cons Profit &amp; Loss'!C25*(1-$M$128)</f>
        <v>92110306.882431701</v>
      </c>
      <c r="E181" s="61">
        <f>'6.Cons Profit &amp; Loss'!D25*(1-$M$128)</f>
        <v>108158037.2485276</v>
      </c>
      <c r="F181" s="61">
        <f>'6.Cons Profit &amp; Loss'!E25*(1-$M$128)</f>
        <v>119617706.32516992</v>
      </c>
      <c r="G181" s="61">
        <f>'6.Cons Profit &amp; Loss'!F25*(1-$M$128)</f>
        <v>130834246.77067117</v>
      </c>
      <c r="H181" s="61">
        <f>'6.Cons Profit &amp; Loss'!G25*(1-$M$128)</f>
        <v>142050787.21617243</v>
      </c>
      <c r="I181" s="61">
        <f>'6.Cons Profit &amp; Loss'!H25*(1-$M$128)</f>
        <v>153267327.66167369</v>
      </c>
    </row>
    <row r="182" spans="2:13">
      <c r="B182" s="60" t="s">
        <v>356</v>
      </c>
      <c r="C182" s="61">
        <f t="shared" ref="C182:I182" si="27">SUM(C180:C181)</f>
        <v>78119516.454151765</v>
      </c>
      <c r="D182" s="61">
        <f t="shared" si="27"/>
        <v>96523061.405015945</v>
      </c>
      <c r="E182" s="61">
        <f t="shared" si="27"/>
        <v>112868479.6088991</v>
      </c>
      <c r="F182" s="61">
        <f t="shared" si="27"/>
        <v>124625836.52332868</v>
      </c>
      <c r="G182" s="61">
        <f t="shared" si="27"/>
        <v>136140064.80661717</v>
      </c>
      <c r="H182" s="61">
        <f t="shared" si="27"/>
        <v>147654293.08990568</v>
      </c>
      <c r="I182" s="61">
        <f t="shared" si="27"/>
        <v>159168521.37319419</v>
      </c>
    </row>
    <row r="183" spans="2:13">
      <c r="B183" s="62" t="s">
        <v>357</v>
      </c>
      <c r="C183" s="289">
        <f t="shared" ref="C183:I183" si="28">+C178-C182</f>
        <v>7260195.867758736</v>
      </c>
      <c r="D183" s="289">
        <f t="shared" si="28"/>
        <v>10391752.533933029</v>
      </c>
      <c r="E183" s="289">
        <f t="shared" si="28"/>
        <v>13246838.395870909</v>
      </c>
      <c r="F183" s="289">
        <f t="shared" si="28"/>
        <v>15018203.731216356</v>
      </c>
      <c r="G183" s="289">
        <f t="shared" si="28"/>
        <v>17018134.035252839</v>
      </c>
      <c r="H183" s="289">
        <f t="shared" si="28"/>
        <v>18960159.830289304</v>
      </c>
      <c r="I183" s="289">
        <f t="shared" si="28"/>
        <v>20904281.116325825</v>
      </c>
    </row>
    <row r="185" spans="2:13" ht="41.1" customHeight="1">
      <c r="B185" s="408" t="s">
        <v>545</v>
      </c>
      <c r="C185" s="408"/>
      <c r="D185" s="408"/>
      <c r="E185" s="408"/>
      <c r="F185" s="408"/>
      <c r="G185" s="408"/>
      <c r="H185" s="408"/>
      <c r="I185" s="408"/>
      <c r="J185" s="296"/>
      <c r="K185" s="296"/>
      <c r="L185" s="296"/>
      <c r="M185" s="296"/>
    </row>
  </sheetData>
  <mergeCells count="20">
    <mergeCell ref="B185:I185"/>
    <mergeCell ref="B124:I124"/>
    <mergeCell ref="K124:R124"/>
    <mergeCell ref="D20:J20"/>
    <mergeCell ref="D22:J22"/>
    <mergeCell ref="B75:J75"/>
    <mergeCell ref="B88:I88"/>
    <mergeCell ref="B103:J103"/>
    <mergeCell ref="B122:J122"/>
    <mergeCell ref="B105:I105"/>
    <mergeCell ref="B76:I76"/>
    <mergeCell ref="C82:I82"/>
    <mergeCell ref="C83:I83"/>
    <mergeCell ref="C85:I85"/>
    <mergeCell ref="B90:J90"/>
    <mergeCell ref="B5:J5"/>
    <mergeCell ref="B26:I26"/>
    <mergeCell ref="B54:I54"/>
    <mergeCell ref="B24:J24"/>
    <mergeCell ref="B51:J51"/>
  </mergeCells>
  <hyperlinks>
    <hyperlink ref="B24" r:id="rId1" display="https://www.investopedia.com/terms/d/discountrate.asp"/>
  </hyperlinks>
  <pageMargins left="0.7" right="0.7" top="0.75" bottom="0.75" header="0.3" footer="0.3"/>
  <pageSetup scale="55" orientation="portrait" r:id="rId2"/>
  <rowBreaks count="2" manualBreakCount="2">
    <brk id="75" min="1" max="12" man="1"/>
    <brk id="154" min="1" max="12" man="1"/>
  </rowBreaks>
  <colBreaks count="1" manualBreakCount="1">
    <brk id="10" max="185" man="1"/>
  </colBreaks>
</worksheet>
</file>

<file path=xl/worksheets/sheet11.xml><?xml version="1.0" encoding="utf-8"?>
<worksheet xmlns="http://schemas.openxmlformats.org/spreadsheetml/2006/main" xmlns:r="http://schemas.openxmlformats.org/officeDocument/2006/relationships">
  <dimension ref="A1:Z119"/>
  <sheetViews>
    <sheetView view="pageBreakPreview" zoomScale="80" zoomScaleSheetLayoutView="80" workbookViewId="0">
      <selection activeCell="N18" sqref="N18"/>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368" t="s">
        <v>506</v>
      </c>
      <c r="B1" s="368"/>
      <c r="C1" s="368"/>
      <c r="D1" s="368"/>
      <c r="E1" s="368"/>
      <c r="F1" s="368"/>
      <c r="G1" s="368"/>
      <c r="H1" s="368"/>
    </row>
    <row r="2" spans="1:26">
      <c r="B2" s="4"/>
    </row>
    <row r="3" spans="1:26" ht="18.75">
      <c r="A3" s="417" t="s">
        <v>573</v>
      </c>
      <c r="B3" s="417"/>
    </row>
    <row r="4" spans="1:26">
      <c r="A4" s="258" t="s">
        <v>0</v>
      </c>
      <c r="B4" s="269" t="s">
        <v>388</v>
      </c>
      <c r="C4" s="270"/>
      <c r="D4" s="270"/>
      <c r="E4" s="270"/>
      <c r="F4" s="270"/>
      <c r="G4" s="270"/>
      <c r="H4" s="270"/>
    </row>
    <row r="5" spans="1:26">
      <c r="A5" s="9" t="s">
        <v>498</v>
      </c>
      <c r="B5" s="254">
        <v>308</v>
      </c>
      <c r="D5" s="271"/>
      <c r="E5" s="271"/>
      <c r="F5" s="271"/>
      <c r="G5" s="271"/>
      <c r="H5" s="271"/>
    </row>
    <row r="6" spans="1:26">
      <c r="A6" s="9" t="s">
        <v>499</v>
      </c>
      <c r="B6" s="254">
        <v>450</v>
      </c>
      <c r="D6" s="271"/>
      <c r="E6" s="271"/>
      <c r="F6" s="271"/>
      <c r="G6" s="271"/>
      <c r="H6" s="271"/>
    </row>
    <row r="7" spans="1:26">
      <c r="A7" s="2" t="s">
        <v>1</v>
      </c>
      <c r="B7" s="2">
        <f>B5+B6</f>
        <v>758</v>
      </c>
      <c r="C7" s="5"/>
      <c r="D7" s="272"/>
      <c r="E7" s="272"/>
      <c r="F7" s="272"/>
      <c r="G7" s="272"/>
      <c r="H7" s="272"/>
    </row>
    <row r="8" spans="1:26">
      <c r="A8" s="2" t="s">
        <v>500</v>
      </c>
      <c r="B8" s="286">
        <v>5</v>
      </c>
      <c r="C8" s="5"/>
      <c r="D8" s="5"/>
      <c r="E8" s="5"/>
      <c r="F8" s="5"/>
      <c r="G8" s="5"/>
      <c r="H8" s="5"/>
    </row>
    <row r="9" spans="1:26">
      <c r="A9" s="2" t="s">
        <v>505</v>
      </c>
      <c r="B9" s="2">
        <f>B7*B8</f>
        <v>3790</v>
      </c>
      <c r="C9" s="272"/>
      <c r="D9" s="272"/>
      <c r="E9" s="272"/>
      <c r="F9" s="272"/>
      <c r="G9" s="272"/>
      <c r="H9" s="272"/>
    </row>
    <row r="10" spans="1:26">
      <c r="J10" t="s">
        <v>453</v>
      </c>
      <c r="O10" t="s">
        <v>449</v>
      </c>
      <c r="U10" t="s">
        <v>450</v>
      </c>
      <c r="Y10" t="s">
        <v>451</v>
      </c>
      <c r="Z10" t="s">
        <v>452</v>
      </c>
    </row>
    <row r="11" spans="1:26" ht="18.75">
      <c r="A11" s="368" t="s">
        <v>574</v>
      </c>
      <c r="B11" s="368"/>
      <c r="C11" s="368"/>
      <c r="D11" s="368"/>
      <c r="E11" s="368"/>
      <c r="F11" s="368"/>
      <c r="G11" s="368"/>
      <c r="H11" s="368"/>
      <c r="I11" s="5"/>
      <c r="J11" s="5"/>
      <c r="K11" s="5"/>
      <c r="L11" s="5"/>
      <c r="M11" s="5"/>
      <c r="N11" s="5"/>
      <c r="O11" s="5"/>
      <c r="P11" s="5"/>
    </row>
    <row r="12" spans="1:26">
      <c r="J12" s="3">
        <v>0.65</v>
      </c>
      <c r="K12" s="267">
        <f>J12+0.05</f>
        <v>0.70000000000000007</v>
      </c>
      <c r="L12" s="267">
        <f t="shared" ref="L12:N12" si="0">K12+0.05</f>
        <v>0.75000000000000011</v>
      </c>
      <c r="M12" s="267">
        <f t="shared" si="0"/>
        <v>0.80000000000000016</v>
      </c>
      <c r="N12" s="267">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58" t="s">
        <v>392</v>
      </c>
      <c r="B13" s="258" t="s">
        <v>393</v>
      </c>
      <c r="C13" s="259" t="s">
        <v>445</v>
      </c>
      <c r="D13" s="259" t="s">
        <v>454</v>
      </c>
      <c r="E13" s="259" t="s">
        <v>455</v>
      </c>
      <c r="F13" s="259" t="s">
        <v>394</v>
      </c>
      <c r="G13" s="259" t="s">
        <v>446</v>
      </c>
      <c r="H13" s="259" t="s">
        <v>395</v>
      </c>
      <c r="O13" s="266" t="s">
        <v>2</v>
      </c>
      <c r="P13" s="266" t="s">
        <v>3</v>
      </c>
      <c r="Q13" s="266" t="s">
        <v>4</v>
      </c>
      <c r="R13" s="266" t="s">
        <v>5</v>
      </c>
      <c r="S13" s="266" t="s">
        <v>6</v>
      </c>
      <c r="T13" s="266" t="s">
        <v>2</v>
      </c>
      <c r="U13" s="266" t="s">
        <v>3</v>
      </c>
      <c r="V13" s="266" t="s">
        <v>4</v>
      </c>
      <c r="W13" s="266" t="s">
        <v>5</v>
      </c>
      <c r="X13" s="266" t="s">
        <v>6</v>
      </c>
    </row>
    <row r="14" spans="1:26">
      <c r="A14" s="421" t="s">
        <v>396</v>
      </c>
      <c r="B14" s="254" t="s">
        <v>166</v>
      </c>
      <c r="C14" s="264">
        <v>0</v>
      </c>
      <c r="D14" s="9">
        <f t="shared" ref="D14:D22" si="3">$B$9*C14</f>
        <v>0</v>
      </c>
      <c r="E14" s="255">
        <v>15</v>
      </c>
      <c r="F14" s="9">
        <f>D14*E14</f>
        <v>0</v>
      </c>
      <c r="G14" s="265">
        <v>0.1</v>
      </c>
      <c r="H14" s="9">
        <f>(F14-F14*G14)</f>
        <v>0</v>
      </c>
      <c r="J14">
        <f>$D$14*J12</f>
        <v>0</v>
      </c>
      <c r="K14">
        <f>$D$14*K12</f>
        <v>0</v>
      </c>
      <c r="L14">
        <f>$D$14*L12</f>
        <v>0</v>
      </c>
      <c r="M14">
        <f>$D$14*M12</f>
        <v>0</v>
      </c>
      <c r="N14">
        <f>$D$14*N12</f>
        <v>0</v>
      </c>
    </row>
    <row r="15" spans="1:26">
      <c r="A15" s="422"/>
      <c r="B15" s="254" t="s">
        <v>478</v>
      </c>
      <c r="C15" s="264">
        <v>0.4</v>
      </c>
      <c r="D15" s="9">
        <f>$B$9*C15</f>
        <v>1516</v>
      </c>
      <c r="E15" s="255">
        <v>6</v>
      </c>
      <c r="F15" s="9">
        <f t="shared" ref="F15:F36" si="4">D15*E15</f>
        <v>9096</v>
      </c>
      <c r="G15" s="265">
        <v>0.05</v>
      </c>
      <c r="H15" s="9">
        <f>(F15-F15*G15)</f>
        <v>8641.2000000000007</v>
      </c>
    </row>
    <row r="16" spans="1:26">
      <c r="A16" s="422"/>
      <c r="B16" s="254" t="s">
        <v>477</v>
      </c>
      <c r="C16" s="264">
        <v>0</v>
      </c>
      <c r="D16" s="9">
        <f t="shared" si="3"/>
        <v>0</v>
      </c>
      <c r="E16" s="255">
        <v>4</v>
      </c>
      <c r="F16" s="9">
        <f t="shared" si="4"/>
        <v>0</v>
      </c>
      <c r="G16" s="265">
        <v>0</v>
      </c>
      <c r="H16" s="9">
        <f t="shared" ref="H16:H36" si="5">(F16-F16*G16)</f>
        <v>0</v>
      </c>
    </row>
    <row r="17" spans="1:8">
      <c r="A17" s="422"/>
      <c r="B17" s="254" t="s">
        <v>475</v>
      </c>
      <c r="C17" s="264">
        <v>0.18</v>
      </c>
      <c r="D17" s="9">
        <f t="shared" si="3"/>
        <v>682.19999999999993</v>
      </c>
      <c r="E17" s="255">
        <v>7</v>
      </c>
      <c r="F17" s="9">
        <f t="shared" si="4"/>
        <v>4775.3999999999996</v>
      </c>
      <c r="G17" s="265">
        <v>0.02</v>
      </c>
      <c r="H17" s="9">
        <f t="shared" si="5"/>
        <v>4679.8919999999998</v>
      </c>
    </row>
    <row r="18" spans="1:8">
      <c r="A18" s="422"/>
      <c r="B18" s="254" t="s">
        <v>397</v>
      </c>
      <c r="C18" s="264">
        <v>0</v>
      </c>
      <c r="D18" s="9">
        <f t="shared" si="3"/>
        <v>0</v>
      </c>
      <c r="E18" s="255">
        <v>20</v>
      </c>
      <c r="F18" s="9">
        <f t="shared" si="4"/>
        <v>0</v>
      </c>
      <c r="G18" s="265">
        <v>0</v>
      </c>
      <c r="H18" s="9">
        <f t="shared" si="5"/>
        <v>0</v>
      </c>
    </row>
    <row r="19" spans="1:8">
      <c r="A19" s="422"/>
      <c r="B19" s="254" t="s">
        <v>476</v>
      </c>
      <c r="C19" s="264">
        <v>0.1</v>
      </c>
      <c r="D19" s="9">
        <f t="shared" si="3"/>
        <v>379</v>
      </c>
      <c r="E19" s="255">
        <v>7</v>
      </c>
      <c r="F19" s="9">
        <f t="shared" si="4"/>
        <v>2653</v>
      </c>
      <c r="G19" s="265">
        <v>0.1</v>
      </c>
      <c r="H19" s="9">
        <f t="shared" si="5"/>
        <v>2387.6999999999998</v>
      </c>
    </row>
    <row r="20" spans="1:8">
      <c r="A20" s="422"/>
      <c r="B20" s="254" t="s">
        <v>469</v>
      </c>
      <c r="C20" s="264">
        <v>0</v>
      </c>
      <c r="D20" s="9">
        <f t="shared" si="3"/>
        <v>0</v>
      </c>
      <c r="E20" s="255">
        <v>6</v>
      </c>
      <c r="F20" s="9">
        <f t="shared" si="4"/>
        <v>0</v>
      </c>
      <c r="G20" s="265">
        <v>0.02</v>
      </c>
      <c r="H20" s="9">
        <f t="shared" si="5"/>
        <v>0</v>
      </c>
    </row>
    <row r="21" spans="1:8">
      <c r="A21" s="422"/>
      <c r="B21" s="254" t="s">
        <v>401</v>
      </c>
      <c r="C21" s="264">
        <v>0</v>
      </c>
      <c r="D21" s="9">
        <f t="shared" si="3"/>
        <v>0</v>
      </c>
      <c r="E21" s="255"/>
      <c r="F21" s="9">
        <f t="shared" si="4"/>
        <v>0</v>
      </c>
      <c r="G21" s="265">
        <v>0</v>
      </c>
      <c r="H21" s="9">
        <f t="shared" si="5"/>
        <v>0</v>
      </c>
    </row>
    <row r="22" spans="1:8">
      <c r="A22" s="423"/>
      <c r="B22" s="254" t="s">
        <v>479</v>
      </c>
      <c r="C22" s="264">
        <v>0</v>
      </c>
      <c r="D22" s="9">
        <f t="shared" si="3"/>
        <v>0</v>
      </c>
      <c r="E22" s="255"/>
      <c r="F22" s="9">
        <f t="shared" si="4"/>
        <v>0</v>
      </c>
      <c r="G22" s="265">
        <v>0</v>
      </c>
      <c r="H22" s="9">
        <f t="shared" si="5"/>
        <v>0</v>
      </c>
    </row>
    <row r="23" spans="1:8">
      <c r="A23" s="274" t="s">
        <v>483</v>
      </c>
      <c r="B23" s="279">
        <v>0.3</v>
      </c>
      <c r="C23" s="281">
        <f>B9*B23</f>
        <v>1137</v>
      </c>
      <c r="D23" s="9"/>
      <c r="E23" s="255"/>
      <c r="F23" s="9"/>
      <c r="G23" s="265"/>
      <c r="H23" s="9"/>
    </row>
    <row r="24" spans="1:8">
      <c r="A24" s="421" t="s">
        <v>398</v>
      </c>
      <c r="B24" s="254" t="s">
        <v>399</v>
      </c>
      <c r="C24" s="264">
        <v>0.2</v>
      </c>
      <c r="D24" s="9">
        <f>C$23*C24</f>
        <v>227.4</v>
      </c>
      <c r="E24" s="255">
        <v>10</v>
      </c>
      <c r="F24" s="9">
        <f t="shared" si="4"/>
        <v>2274</v>
      </c>
      <c r="G24" s="265">
        <v>0.1</v>
      </c>
      <c r="H24" s="9">
        <f t="shared" si="5"/>
        <v>2046.6</v>
      </c>
    </row>
    <row r="25" spans="1:8">
      <c r="A25" s="422"/>
      <c r="B25" s="254" t="s">
        <v>400</v>
      </c>
      <c r="C25" s="264">
        <v>0.45</v>
      </c>
      <c r="D25" s="9">
        <f>C$23*C25</f>
        <v>511.65000000000003</v>
      </c>
      <c r="E25" s="255">
        <v>10</v>
      </c>
      <c r="F25" s="9">
        <f t="shared" si="4"/>
        <v>5116.5</v>
      </c>
      <c r="G25" s="265">
        <v>0.1</v>
      </c>
      <c r="H25" s="9">
        <f t="shared" si="5"/>
        <v>4604.8500000000004</v>
      </c>
    </row>
    <row r="26" spans="1:8">
      <c r="A26" s="422"/>
      <c r="B26" s="254" t="s">
        <v>401</v>
      </c>
      <c r="C26" s="264">
        <v>0</v>
      </c>
      <c r="D26" s="9">
        <f>C$23*C26</f>
        <v>0</v>
      </c>
      <c r="E26" s="255">
        <v>10</v>
      </c>
      <c r="F26" s="9">
        <f t="shared" si="4"/>
        <v>0</v>
      </c>
      <c r="G26" s="265">
        <v>0.05</v>
      </c>
      <c r="H26" s="9">
        <f t="shared" si="5"/>
        <v>0</v>
      </c>
    </row>
    <row r="27" spans="1:8">
      <c r="A27" s="422"/>
      <c r="B27" s="254" t="s">
        <v>397</v>
      </c>
      <c r="C27" s="264">
        <v>0</v>
      </c>
      <c r="D27" s="9">
        <f t="shared" ref="D27:D31" si="6">C$23*C27</f>
        <v>0</v>
      </c>
      <c r="E27" s="255">
        <v>20</v>
      </c>
      <c r="F27" s="9">
        <f t="shared" si="4"/>
        <v>0</v>
      </c>
      <c r="G27" s="265">
        <v>0</v>
      </c>
      <c r="H27" s="9">
        <f t="shared" si="5"/>
        <v>0</v>
      </c>
    </row>
    <row r="28" spans="1:8">
      <c r="A28" s="422"/>
      <c r="B28" s="254" t="s">
        <v>480</v>
      </c>
      <c r="C28" s="264">
        <v>0</v>
      </c>
      <c r="D28" s="9">
        <f t="shared" si="6"/>
        <v>0</v>
      </c>
      <c r="E28" s="255"/>
      <c r="F28" s="9">
        <f t="shared" si="4"/>
        <v>0</v>
      </c>
      <c r="G28" s="265">
        <v>0</v>
      </c>
      <c r="H28" s="9">
        <f t="shared" si="5"/>
        <v>0</v>
      </c>
    </row>
    <row r="29" spans="1:8">
      <c r="A29" s="422"/>
      <c r="B29" s="254" t="s">
        <v>481</v>
      </c>
      <c r="C29" s="264">
        <v>0.35</v>
      </c>
      <c r="D29" s="9">
        <f t="shared" si="6"/>
        <v>397.95</v>
      </c>
      <c r="E29" s="255">
        <v>9</v>
      </c>
      <c r="F29" s="9">
        <f t="shared" si="4"/>
        <v>3581.5499999999997</v>
      </c>
      <c r="G29" s="265">
        <v>0.1</v>
      </c>
      <c r="H29" s="9">
        <f t="shared" si="5"/>
        <v>3223.3949999999995</v>
      </c>
    </row>
    <row r="30" spans="1:8">
      <c r="A30" s="422"/>
      <c r="B30" s="254"/>
      <c r="C30" s="264">
        <v>0</v>
      </c>
      <c r="D30" s="9">
        <f t="shared" si="6"/>
        <v>0</v>
      </c>
      <c r="E30" s="255"/>
      <c r="F30" s="9">
        <f t="shared" si="4"/>
        <v>0</v>
      </c>
      <c r="G30" s="265">
        <v>0</v>
      </c>
      <c r="H30" s="9">
        <f t="shared" si="5"/>
        <v>0</v>
      </c>
    </row>
    <row r="31" spans="1:8">
      <c r="A31" s="423"/>
      <c r="B31" s="254"/>
      <c r="C31" s="264">
        <v>0</v>
      </c>
      <c r="D31" s="9">
        <f t="shared" si="6"/>
        <v>0</v>
      </c>
      <c r="E31" s="255"/>
      <c r="F31" s="9">
        <f t="shared" si="4"/>
        <v>0</v>
      </c>
      <c r="G31" s="265">
        <v>0</v>
      </c>
      <c r="H31" s="9">
        <f t="shared" si="5"/>
        <v>0</v>
      </c>
    </row>
    <row r="32" spans="1:8">
      <c r="A32" s="274" t="s">
        <v>482</v>
      </c>
      <c r="B32" s="279">
        <v>0.05</v>
      </c>
      <c r="C32" s="9">
        <f>B9*B32</f>
        <v>189.5</v>
      </c>
      <c r="D32" s="9"/>
      <c r="E32" s="255"/>
      <c r="F32" s="9"/>
      <c r="G32" s="265"/>
      <c r="H32" s="9"/>
    </row>
    <row r="33" spans="1:10">
      <c r="A33" s="282" t="s">
        <v>460</v>
      </c>
      <c r="B33" s="254" t="s">
        <v>481</v>
      </c>
      <c r="C33" s="264">
        <v>0.32</v>
      </c>
      <c r="D33" s="9">
        <f>C$32*C33</f>
        <v>60.64</v>
      </c>
      <c r="E33" s="255">
        <v>9</v>
      </c>
      <c r="F33" s="9">
        <f t="shared" si="4"/>
        <v>545.76</v>
      </c>
      <c r="G33" s="265">
        <v>0.1</v>
      </c>
      <c r="H33" s="9">
        <f t="shared" si="5"/>
        <v>491.18399999999997</v>
      </c>
    </row>
    <row r="34" spans="1:10">
      <c r="A34" s="283"/>
      <c r="B34" s="254"/>
      <c r="C34" s="264">
        <v>0</v>
      </c>
      <c r="D34" s="9">
        <f>C$32*C34</f>
        <v>0</v>
      </c>
      <c r="E34" s="255"/>
      <c r="F34" s="9">
        <f t="shared" si="4"/>
        <v>0</v>
      </c>
      <c r="G34" s="265">
        <v>0</v>
      </c>
      <c r="H34" s="9">
        <f t="shared" si="5"/>
        <v>0</v>
      </c>
    </row>
    <row r="35" spans="1:10">
      <c r="A35" s="283"/>
      <c r="B35" s="254"/>
      <c r="C35" s="264">
        <v>0</v>
      </c>
      <c r="D35" s="9">
        <f>C$32*C35</f>
        <v>0</v>
      </c>
      <c r="E35" s="255"/>
      <c r="F35" s="9">
        <f t="shared" si="4"/>
        <v>0</v>
      </c>
      <c r="G35" s="265">
        <v>0</v>
      </c>
      <c r="H35" s="9">
        <f t="shared" si="5"/>
        <v>0</v>
      </c>
    </row>
    <row r="36" spans="1:10">
      <c r="A36" s="284"/>
      <c r="B36" s="254"/>
      <c r="C36" s="264">
        <v>0</v>
      </c>
      <c r="D36" s="9">
        <f>C$32*C36</f>
        <v>0</v>
      </c>
      <c r="E36" s="255"/>
      <c r="F36" s="9">
        <f t="shared" si="4"/>
        <v>0</v>
      </c>
      <c r="G36" s="265">
        <v>0</v>
      </c>
      <c r="H36" s="9">
        <f t="shared" si="5"/>
        <v>0</v>
      </c>
    </row>
    <row r="37" spans="1:10">
      <c r="A37" s="420" t="s">
        <v>402</v>
      </c>
      <c r="B37" s="420"/>
      <c r="C37" s="420"/>
      <c r="D37" s="420"/>
      <c r="E37" s="420"/>
      <c r="F37" s="420"/>
      <c r="G37" s="420"/>
      <c r="H37" s="420"/>
    </row>
    <row r="39" spans="1:10" ht="18.75">
      <c r="A39" s="424" t="s">
        <v>575</v>
      </c>
      <c r="B39" s="425"/>
      <c r="C39" s="425"/>
      <c r="D39" s="425"/>
      <c r="E39" s="425"/>
      <c r="F39" s="425"/>
      <c r="G39" s="425"/>
      <c r="H39" s="426"/>
    </row>
    <row r="40" spans="1:10">
      <c r="A40" s="427" t="s">
        <v>0</v>
      </c>
      <c r="B40" s="275">
        <v>0.3</v>
      </c>
      <c r="C40" s="275">
        <f>B40+0.05</f>
        <v>0.35</v>
      </c>
      <c r="D40" s="275">
        <f t="shared" ref="D40:G40" si="7">C40+0.05</f>
        <v>0.39999999999999997</v>
      </c>
      <c r="E40" s="275">
        <f t="shared" si="7"/>
        <v>0.44999999999999996</v>
      </c>
      <c r="F40" s="275">
        <f t="shared" si="7"/>
        <v>0.49999999999999994</v>
      </c>
      <c r="G40" s="275">
        <f t="shared" si="7"/>
        <v>0.54999999999999993</v>
      </c>
      <c r="H40" s="275">
        <f>G40+0.05</f>
        <v>0.6</v>
      </c>
    </row>
    <row r="41" spans="1:10">
      <c r="A41" s="428"/>
      <c r="B41" s="269" t="s">
        <v>2</v>
      </c>
      <c r="C41" s="269" t="s">
        <v>3</v>
      </c>
      <c r="D41" s="269" t="s">
        <v>4</v>
      </c>
      <c r="E41" s="269" t="s">
        <v>5</v>
      </c>
      <c r="F41" s="269" t="s">
        <v>6</v>
      </c>
      <c r="G41" s="269" t="s">
        <v>168</v>
      </c>
      <c r="H41" s="269" t="s">
        <v>167</v>
      </c>
    </row>
    <row r="42" spans="1:10">
      <c r="A42" s="9" t="str">
        <f t="shared" ref="A42:A50" si="8">B14</f>
        <v>Soybean</v>
      </c>
      <c r="B42" s="9">
        <f t="shared" ref="B42:B50" si="9">H14*$B$40</f>
        <v>0</v>
      </c>
      <c r="C42" s="9">
        <f t="shared" ref="C42:H51" si="10">(B42/B$40)*C$40</f>
        <v>0</v>
      </c>
      <c r="D42" s="9">
        <f t="shared" si="10"/>
        <v>0</v>
      </c>
      <c r="E42" s="9">
        <f t="shared" si="10"/>
        <v>0</v>
      </c>
      <c r="F42" s="9">
        <f t="shared" si="10"/>
        <v>0</v>
      </c>
      <c r="G42" s="9">
        <f t="shared" si="10"/>
        <v>0</v>
      </c>
      <c r="H42" s="9">
        <f t="shared" si="10"/>
        <v>0</v>
      </c>
      <c r="I42" s="340"/>
      <c r="J42" s="340"/>
    </row>
    <row r="43" spans="1:10">
      <c r="A43" s="9" t="str">
        <f t="shared" si="8"/>
        <v>Red Gram/Tur</v>
      </c>
      <c r="B43" s="9">
        <f t="shared" si="9"/>
        <v>2592.36</v>
      </c>
      <c r="C43" s="9">
        <f t="shared" si="10"/>
        <v>3024.42</v>
      </c>
      <c r="D43" s="9">
        <f t="shared" si="10"/>
        <v>3456.48</v>
      </c>
      <c r="E43" s="9">
        <f t="shared" si="10"/>
        <v>3888.54</v>
      </c>
      <c r="F43" s="9">
        <f t="shared" si="10"/>
        <v>4320.5999999999995</v>
      </c>
      <c r="G43" s="9">
        <f t="shared" si="10"/>
        <v>4752.66</v>
      </c>
      <c r="H43" s="9">
        <f t="shared" si="10"/>
        <v>5184.72</v>
      </c>
    </row>
    <row r="44" spans="1:10">
      <c r="A44" s="9" t="str">
        <f t="shared" si="8"/>
        <v>Paddy/Rice</v>
      </c>
      <c r="B44" s="9">
        <f t="shared" si="9"/>
        <v>0</v>
      </c>
      <c r="C44" s="9">
        <f t="shared" si="10"/>
        <v>0</v>
      </c>
      <c r="D44" s="9">
        <f t="shared" si="10"/>
        <v>0</v>
      </c>
      <c r="E44" s="9">
        <f t="shared" si="10"/>
        <v>0</v>
      </c>
      <c r="F44" s="9">
        <f t="shared" si="10"/>
        <v>0</v>
      </c>
      <c r="G44" s="9">
        <f t="shared" si="10"/>
        <v>0</v>
      </c>
      <c r="H44" s="9">
        <f t="shared" si="10"/>
        <v>0</v>
      </c>
    </row>
    <row r="45" spans="1:10">
      <c r="A45" s="9" t="str">
        <f t="shared" si="8"/>
        <v>Green Gram/ Moong</v>
      </c>
      <c r="B45" s="9">
        <f t="shared" si="9"/>
        <v>1403.9675999999999</v>
      </c>
      <c r="C45" s="9">
        <f t="shared" si="10"/>
        <v>1637.9621999999999</v>
      </c>
      <c r="D45" s="9">
        <f t="shared" si="10"/>
        <v>1871.9567999999997</v>
      </c>
      <c r="E45" s="9">
        <f t="shared" si="10"/>
        <v>2105.9513999999999</v>
      </c>
      <c r="F45" s="9">
        <f t="shared" si="10"/>
        <v>2339.9459999999999</v>
      </c>
      <c r="G45" s="9">
        <f t="shared" si="10"/>
        <v>2573.9405999999999</v>
      </c>
      <c r="H45" s="9">
        <f t="shared" si="10"/>
        <v>2807.9352000000003</v>
      </c>
    </row>
    <row r="46" spans="1:10">
      <c r="A46" s="9" t="str">
        <f t="shared" si="8"/>
        <v>Maize</v>
      </c>
      <c r="B46" s="9">
        <f t="shared" si="9"/>
        <v>0</v>
      </c>
      <c r="C46" s="9">
        <f t="shared" si="10"/>
        <v>0</v>
      </c>
      <c r="D46" s="9">
        <f t="shared" si="10"/>
        <v>0</v>
      </c>
      <c r="E46" s="9">
        <f t="shared" si="10"/>
        <v>0</v>
      </c>
      <c r="F46" s="9">
        <f t="shared" si="10"/>
        <v>0</v>
      </c>
      <c r="G46" s="9">
        <f t="shared" si="10"/>
        <v>0</v>
      </c>
      <c r="H46" s="9">
        <f t="shared" si="10"/>
        <v>0</v>
      </c>
    </row>
    <row r="47" spans="1:10">
      <c r="A47" s="9" t="str">
        <f t="shared" si="8"/>
        <v>Black Gram/Udid</v>
      </c>
      <c r="B47" s="9">
        <f t="shared" si="9"/>
        <v>716.31</v>
      </c>
      <c r="C47" s="9">
        <f t="shared" si="10"/>
        <v>835.69499999999994</v>
      </c>
      <c r="D47" s="9">
        <f t="shared" si="10"/>
        <v>955.07999999999981</v>
      </c>
      <c r="E47" s="9">
        <f t="shared" si="10"/>
        <v>1074.4649999999999</v>
      </c>
      <c r="F47" s="9">
        <f t="shared" si="10"/>
        <v>1193.8499999999999</v>
      </c>
      <c r="G47" s="9">
        <f t="shared" si="10"/>
        <v>1313.2349999999999</v>
      </c>
      <c r="H47" s="9">
        <f t="shared" si="10"/>
        <v>1432.6200000000001</v>
      </c>
    </row>
    <row r="48" spans="1:10">
      <c r="A48" s="9" t="str">
        <f t="shared" si="8"/>
        <v>Bajra</v>
      </c>
      <c r="B48" s="9">
        <f t="shared" si="9"/>
        <v>0</v>
      </c>
      <c r="C48" s="9">
        <f t="shared" si="10"/>
        <v>0</v>
      </c>
      <c r="D48" s="9">
        <f t="shared" si="10"/>
        <v>0</v>
      </c>
      <c r="E48" s="9">
        <f t="shared" si="10"/>
        <v>0</v>
      </c>
      <c r="F48" s="9">
        <f t="shared" si="10"/>
        <v>0</v>
      </c>
      <c r="G48" s="9">
        <f t="shared" si="10"/>
        <v>0</v>
      </c>
      <c r="H48" s="9">
        <f t="shared" si="10"/>
        <v>0</v>
      </c>
    </row>
    <row r="49" spans="1:8">
      <c r="A49" s="9" t="str">
        <f t="shared" si="8"/>
        <v>Jawar</v>
      </c>
      <c r="B49" s="9">
        <f t="shared" si="9"/>
        <v>0</v>
      </c>
      <c r="C49" s="9">
        <f t="shared" si="10"/>
        <v>0</v>
      </c>
      <c r="D49" s="9">
        <f t="shared" si="10"/>
        <v>0</v>
      </c>
      <c r="E49" s="9">
        <f t="shared" si="10"/>
        <v>0</v>
      </c>
      <c r="F49" s="9">
        <f t="shared" si="10"/>
        <v>0</v>
      </c>
      <c r="G49" s="9">
        <f t="shared" si="10"/>
        <v>0</v>
      </c>
      <c r="H49" s="9">
        <f t="shared" si="10"/>
        <v>0</v>
      </c>
    </row>
    <row r="50" spans="1:8">
      <c r="A50" s="9" t="str">
        <f t="shared" si="8"/>
        <v>Sunflower</v>
      </c>
      <c r="B50" s="9">
        <f t="shared" si="9"/>
        <v>0</v>
      </c>
      <c r="C50" s="9">
        <f t="shared" si="10"/>
        <v>0</v>
      </c>
      <c r="D50" s="9">
        <f t="shared" si="10"/>
        <v>0</v>
      </c>
      <c r="E50" s="9">
        <f t="shared" si="10"/>
        <v>0</v>
      </c>
      <c r="F50" s="9">
        <f t="shared" si="10"/>
        <v>0</v>
      </c>
      <c r="G50" s="9">
        <f t="shared" si="10"/>
        <v>0</v>
      </c>
      <c r="H50" s="9">
        <f t="shared" si="10"/>
        <v>0</v>
      </c>
    </row>
    <row r="51" spans="1:8">
      <c r="A51" s="9" t="str">
        <f t="shared" ref="A51:A58" si="11">B24</f>
        <v>Wheat</v>
      </c>
      <c r="B51" s="9">
        <f t="shared" ref="B51:B58" si="12">H24*$B$40</f>
        <v>613.9799999999999</v>
      </c>
      <c r="C51" s="9">
        <f t="shared" si="10"/>
        <v>716.30999999999983</v>
      </c>
      <c r="D51" s="9">
        <f t="shared" si="10"/>
        <v>818.63999999999976</v>
      </c>
      <c r="E51" s="9">
        <f t="shared" si="10"/>
        <v>920.96999999999969</v>
      </c>
      <c r="F51" s="9">
        <f t="shared" si="10"/>
        <v>1023.2999999999996</v>
      </c>
      <c r="G51" s="9">
        <f t="shared" si="10"/>
        <v>1125.6299999999997</v>
      </c>
      <c r="H51" s="9">
        <f t="shared" si="10"/>
        <v>1227.9599999999998</v>
      </c>
    </row>
    <row r="52" spans="1:8">
      <c r="A52" s="9" t="str">
        <f t="shared" si="11"/>
        <v>Bengal Gram/Channa</v>
      </c>
      <c r="B52" s="9">
        <f t="shared" si="12"/>
        <v>1381.4550000000002</v>
      </c>
      <c r="C52" s="9">
        <f t="shared" ref="C52:H61" si="13">(B52/B$40)*C$40</f>
        <v>1611.6975</v>
      </c>
      <c r="D52" s="9">
        <f t="shared" si="13"/>
        <v>1841.94</v>
      </c>
      <c r="E52" s="9">
        <f t="shared" si="13"/>
        <v>2072.1824999999999</v>
      </c>
      <c r="F52" s="9">
        <f t="shared" si="13"/>
        <v>2302.4249999999997</v>
      </c>
      <c r="G52" s="9">
        <f t="shared" si="13"/>
        <v>2532.6675</v>
      </c>
      <c r="H52" s="9">
        <f t="shared" si="13"/>
        <v>2762.9100000000003</v>
      </c>
    </row>
    <row r="53" spans="1:8">
      <c r="A53" s="9" t="str">
        <f t="shared" si="11"/>
        <v>Jawar</v>
      </c>
      <c r="B53" s="9">
        <f t="shared" si="12"/>
        <v>0</v>
      </c>
      <c r="C53" s="9">
        <f t="shared" si="13"/>
        <v>0</v>
      </c>
      <c r="D53" s="9">
        <f t="shared" si="13"/>
        <v>0</v>
      </c>
      <c r="E53" s="9">
        <f t="shared" si="13"/>
        <v>0</v>
      </c>
      <c r="F53" s="9">
        <f t="shared" si="13"/>
        <v>0</v>
      </c>
      <c r="G53" s="9">
        <f t="shared" si="13"/>
        <v>0</v>
      </c>
      <c r="H53" s="9">
        <f t="shared" si="13"/>
        <v>0</v>
      </c>
    </row>
    <row r="54" spans="1:8">
      <c r="A54" s="9" t="str">
        <f t="shared" si="11"/>
        <v>Maize</v>
      </c>
      <c r="B54" s="9">
        <f t="shared" si="12"/>
        <v>0</v>
      </c>
      <c r="C54" s="9">
        <f t="shared" si="13"/>
        <v>0</v>
      </c>
      <c r="D54" s="9">
        <f t="shared" si="13"/>
        <v>0</v>
      </c>
      <c r="E54" s="9">
        <f t="shared" si="13"/>
        <v>0</v>
      </c>
      <c r="F54" s="9">
        <f t="shared" si="13"/>
        <v>0</v>
      </c>
      <c r="G54" s="9">
        <f t="shared" si="13"/>
        <v>0</v>
      </c>
      <c r="H54" s="9">
        <f t="shared" si="13"/>
        <v>0</v>
      </c>
    </row>
    <row r="55" spans="1:8">
      <c r="A55" s="9" t="str">
        <f t="shared" si="11"/>
        <v>Safflower</v>
      </c>
      <c r="B55" s="9">
        <f t="shared" si="12"/>
        <v>0</v>
      </c>
      <c r="C55" s="9">
        <f t="shared" si="13"/>
        <v>0</v>
      </c>
      <c r="D55" s="9">
        <f t="shared" si="13"/>
        <v>0</v>
      </c>
      <c r="E55" s="9">
        <f t="shared" si="13"/>
        <v>0</v>
      </c>
      <c r="F55" s="9">
        <f t="shared" si="13"/>
        <v>0</v>
      </c>
      <c r="G55" s="9">
        <f t="shared" si="13"/>
        <v>0</v>
      </c>
      <c r="H55" s="9">
        <f t="shared" si="13"/>
        <v>0</v>
      </c>
    </row>
    <row r="56" spans="1:8">
      <c r="A56" s="9" t="str">
        <f t="shared" si="11"/>
        <v>Groundnut</v>
      </c>
      <c r="B56" s="9">
        <f t="shared" si="12"/>
        <v>967.01849999999979</v>
      </c>
      <c r="C56" s="9">
        <f t="shared" si="13"/>
        <v>1128.1882499999997</v>
      </c>
      <c r="D56" s="9">
        <f t="shared" si="13"/>
        <v>1289.3579999999997</v>
      </c>
      <c r="E56" s="9">
        <f t="shared" si="13"/>
        <v>1450.5277499999997</v>
      </c>
      <c r="F56" s="9">
        <f t="shared" si="13"/>
        <v>1611.6974999999995</v>
      </c>
      <c r="G56" s="9">
        <f t="shared" si="13"/>
        <v>1772.8672499999996</v>
      </c>
      <c r="H56" s="9">
        <f t="shared" si="13"/>
        <v>1934.0369999999996</v>
      </c>
    </row>
    <row r="57" spans="1:8">
      <c r="A57" s="9">
        <f t="shared" si="11"/>
        <v>0</v>
      </c>
      <c r="B57" s="9">
        <f t="shared" si="12"/>
        <v>0</v>
      </c>
      <c r="C57" s="9">
        <f t="shared" si="13"/>
        <v>0</v>
      </c>
      <c r="D57" s="9">
        <f t="shared" si="13"/>
        <v>0</v>
      </c>
      <c r="E57" s="9">
        <f t="shared" si="13"/>
        <v>0</v>
      </c>
      <c r="F57" s="9">
        <f t="shared" si="13"/>
        <v>0</v>
      </c>
      <c r="G57" s="9">
        <f t="shared" si="13"/>
        <v>0</v>
      </c>
      <c r="H57" s="9">
        <f t="shared" si="13"/>
        <v>0</v>
      </c>
    </row>
    <row r="58" spans="1:8">
      <c r="A58" s="9">
        <f t="shared" si="11"/>
        <v>0</v>
      </c>
      <c r="B58" s="9">
        <f t="shared" si="12"/>
        <v>0</v>
      </c>
      <c r="C58" s="9">
        <f t="shared" si="13"/>
        <v>0</v>
      </c>
      <c r="D58" s="9">
        <f t="shared" si="13"/>
        <v>0</v>
      </c>
      <c r="E58" s="9">
        <f t="shared" si="13"/>
        <v>0</v>
      </c>
      <c r="F58" s="9">
        <f t="shared" si="13"/>
        <v>0</v>
      </c>
      <c r="G58" s="9">
        <f t="shared" si="13"/>
        <v>0</v>
      </c>
      <c r="H58" s="9">
        <f t="shared" si="13"/>
        <v>0</v>
      </c>
    </row>
    <row r="59" spans="1:8">
      <c r="A59" s="9" t="str">
        <f>B33</f>
        <v>Groundnut</v>
      </c>
      <c r="B59" s="9">
        <f>H33*$B$40</f>
        <v>147.3552</v>
      </c>
      <c r="C59" s="9">
        <f t="shared" si="13"/>
        <v>171.9144</v>
      </c>
      <c r="D59" s="9">
        <f t="shared" si="13"/>
        <v>196.4736</v>
      </c>
      <c r="E59" s="9">
        <f t="shared" si="13"/>
        <v>221.03279999999998</v>
      </c>
      <c r="F59" s="9">
        <f t="shared" si="13"/>
        <v>245.59199999999998</v>
      </c>
      <c r="G59" s="9">
        <f t="shared" si="13"/>
        <v>270.15119999999996</v>
      </c>
      <c r="H59" s="9">
        <f t="shared" si="13"/>
        <v>294.71039999999999</v>
      </c>
    </row>
    <row r="60" spans="1:8">
      <c r="A60" s="9">
        <f>B34</f>
        <v>0</v>
      </c>
      <c r="B60" s="9">
        <f>H34*$B$40</f>
        <v>0</v>
      </c>
      <c r="C60" s="9">
        <f t="shared" si="13"/>
        <v>0</v>
      </c>
      <c r="D60" s="9">
        <f t="shared" si="13"/>
        <v>0</v>
      </c>
      <c r="E60" s="9">
        <f t="shared" si="13"/>
        <v>0</v>
      </c>
      <c r="F60" s="9">
        <f t="shared" si="13"/>
        <v>0</v>
      </c>
      <c r="G60" s="9">
        <f t="shared" si="13"/>
        <v>0</v>
      </c>
      <c r="H60" s="9">
        <f t="shared" si="13"/>
        <v>0</v>
      </c>
    </row>
    <row r="61" spans="1:8">
      <c r="A61" s="9">
        <f>B35</f>
        <v>0</v>
      </c>
      <c r="B61" s="9">
        <f>H35*$B$40</f>
        <v>0</v>
      </c>
      <c r="C61" s="9">
        <f t="shared" si="13"/>
        <v>0</v>
      </c>
      <c r="D61" s="9">
        <f t="shared" si="13"/>
        <v>0</v>
      </c>
      <c r="E61" s="9">
        <f t="shared" si="13"/>
        <v>0</v>
      </c>
      <c r="F61" s="9">
        <f t="shared" si="13"/>
        <v>0</v>
      </c>
      <c r="G61" s="9">
        <f t="shared" si="13"/>
        <v>0</v>
      </c>
      <c r="H61" s="9">
        <f t="shared" si="13"/>
        <v>0</v>
      </c>
    </row>
    <row r="62" spans="1:8">
      <c r="A62" s="9">
        <f>B36</f>
        <v>0</v>
      </c>
      <c r="B62" s="9">
        <f>H36*$B$40</f>
        <v>0</v>
      </c>
      <c r="C62" s="9">
        <f t="shared" ref="C62:H62" si="14">(B62/B$40)*C$40</f>
        <v>0</v>
      </c>
      <c r="D62" s="9">
        <f t="shared" si="14"/>
        <v>0</v>
      </c>
      <c r="E62" s="9">
        <f t="shared" si="14"/>
        <v>0</v>
      </c>
      <c r="F62" s="9">
        <f t="shared" si="14"/>
        <v>0</v>
      </c>
      <c r="G62" s="9">
        <f t="shared" si="14"/>
        <v>0</v>
      </c>
      <c r="H62" s="9">
        <f t="shared" si="14"/>
        <v>0</v>
      </c>
    </row>
    <row r="64" spans="1:8" ht="18.75">
      <c r="A64" s="429" t="s">
        <v>576</v>
      </c>
      <c r="B64" s="430"/>
      <c r="C64" s="430"/>
      <c r="D64" s="430"/>
      <c r="E64" s="430"/>
      <c r="F64" s="430"/>
      <c r="G64" s="430"/>
      <c r="H64" s="431"/>
    </row>
    <row r="65" spans="1:8">
      <c r="A65" s="432" t="s">
        <v>0</v>
      </c>
      <c r="B65" s="276">
        <v>0.1</v>
      </c>
      <c r="C65" s="276">
        <f>B65+0.05</f>
        <v>0.15000000000000002</v>
      </c>
      <c r="D65" s="276">
        <f t="shared" ref="D65:G65" si="15">C65+0.05</f>
        <v>0.2</v>
      </c>
      <c r="E65" s="276">
        <f t="shared" si="15"/>
        <v>0.25</v>
      </c>
      <c r="F65" s="276">
        <f t="shared" si="15"/>
        <v>0.3</v>
      </c>
      <c r="G65" s="276">
        <f t="shared" si="15"/>
        <v>0.35</v>
      </c>
      <c r="H65" s="276">
        <f>G65+0.05</f>
        <v>0.39999999999999997</v>
      </c>
    </row>
    <row r="66" spans="1:8">
      <c r="A66" s="433"/>
      <c r="B66" s="269" t="s">
        <v>2</v>
      </c>
      <c r="C66" s="269" t="s">
        <v>3</v>
      </c>
      <c r="D66" s="269" t="s">
        <v>4</v>
      </c>
      <c r="E66" s="269" t="s">
        <v>5</v>
      </c>
      <c r="F66" s="269" t="s">
        <v>6</v>
      </c>
      <c r="G66" s="269" t="s">
        <v>168</v>
      </c>
      <c r="H66" s="269" t="s">
        <v>167</v>
      </c>
    </row>
    <row r="67" spans="1:8">
      <c r="A67" s="9" t="str">
        <f t="shared" ref="A67:A87" si="16">A42</f>
        <v>Soybean</v>
      </c>
      <c r="B67" s="9">
        <f>H14*$B$65</f>
        <v>0</v>
      </c>
      <c r="C67" s="9">
        <f>(B67/B$65)*C$65</f>
        <v>0</v>
      </c>
      <c r="D67" s="9">
        <f t="shared" ref="D67:H68" si="17">(C67/C$65)*D$65</f>
        <v>0</v>
      </c>
      <c r="E67" s="9">
        <f t="shared" si="17"/>
        <v>0</v>
      </c>
      <c r="F67" s="9">
        <f t="shared" si="17"/>
        <v>0</v>
      </c>
      <c r="G67" s="9">
        <f t="shared" si="17"/>
        <v>0</v>
      </c>
      <c r="H67" s="9">
        <f t="shared" si="17"/>
        <v>0</v>
      </c>
    </row>
    <row r="68" spans="1:8">
      <c r="A68" s="9" t="str">
        <f t="shared" si="16"/>
        <v>Red Gram/Tur</v>
      </c>
      <c r="B68" s="9">
        <f t="shared" ref="B68:B75" si="18">H15*$B$65</f>
        <v>864.12000000000012</v>
      </c>
      <c r="C68" s="9">
        <f>(B68/B$65)*C$65</f>
        <v>1296.1800000000003</v>
      </c>
      <c r="D68" s="9">
        <f t="shared" si="17"/>
        <v>1728.2400000000002</v>
      </c>
      <c r="E68" s="9">
        <f t="shared" si="17"/>
        <v>2160.3000000000002</v>
      </c>
      <c r="F68" s="9">
        <f t="shared" si="17"/>
        <v>2592.36</v>
      </c>
      <c r="G68" s="9">
        <f t="shared" si="17"/>
        <v>3024.42</v>
      </c>
      <c r="H68" s="9">
        <f t="shared" si="17"/>
        <v>3456.48</v>
      </c>
    </row>
    <row r="69" spans="1:8">
      <c r="A69" s="9" t="str">
        <f t="shared" si="16"/>
        <v>Paddy/Rice</v>
      </c>
      <c r="B69" s="9">
        <f t="shared" si="18"/>
        <v>0</v>
      </c>
      <c r="C69" s="9">
        <f t="shared" ref="C69:H69" si="19">(B69/B$65)*C$65</f>
        <v>0</v>
      </c>
      <c r="D69" s="9">
        <f t="shared" si="19"/>
        <v>0</v>
      </c>
      <c r="E69" s="9">
        <f t="shared" si="19"/>
        <v>0</v>
      </c>
      <c r="F69" s="9">
        <f t="shared" si="19"/>
        <v>0</v>
      </c>
      <c r="G69" s="9">
        <f t="shared" si="19"/>
        <v>0</v>
      </c>
      <c r="H69" s="9">
        <f t="shared" si="19"/>
        <v>0</v>
      </c>
    </row>
    <row r="70" spans="1:8">
      <c r="A70" s="9" t="str">
        <f t="shared" si="16"/>
        <v>Green Gram/ Moong</v>
      </c>
      <c r="B70" s="9">
        <f t="shared" si="18"/>
        <v>467.98919999999998</v>
      </c>
      <c r="C70" s="9">
        <f t="shared" ref="C70:H70" si="20">(B70/B$65)*C$65</f>
        <v>701.98380000000009</v>
      </c>
      <c r="D70" s="9">
        <f t="shared" si="20"/>
        <v>935.97839999999997</v>
      </c>
      <c r="E70" s="9">
        <f t="shared" si="20"/>
        <v>1169.973</v>
      </c>
      <c r="F70" s="9">
        <f t="shared" si="20"/>
        <v>1403.9675999999999</v>
      </c>
      <c r="G70" s="9">
        <f t="shared" si="20"/>
        <v>1637.9621999999999</v>
      </c>
      <c r="H70" s="9">
        <f t="shared" si="20"/>
        <v>1871.9567999999997</v>
      </c>
    </row>
    <row r="71" spans="1:8">
      <c r="A71" s="9" t="str">
        <f t="shared" si="16"/>
        <v>Maize</v>
      </c>
      <c r="B71" s="9">
        <f t="shared" si="18"/>
        <v>0</v>
      </c>
      <c r="C71" s="9">
        <f t="shared" ref="C71:H71" si="21">(B71/B$65)*C$65</f>
        <v>0</v>
      </c>
      <c r="D71" s="9">
        <f t="shared" si="21"/>
        <v>0</v>
      </c>
      <c r="E71" s="9">
        <f t="shared" si="21"/>
        <v>0</v>
      </c>
      <c r="F71" s="9">
        <f t="shared" si="21"/>
        <v>0</v>
      </c>
      <c r="G71" s="9">
        <f t="shared" si="21"/>
        <v>0</v>
      </c>
      <c r="H71" s="9">
        <f t="shared" si="21"/>
        <v>0</v>
      </c>
    </row>
    <row r="72" spans="1:8">
      <c r="A72" s="9" t="str">
        <f t="shared" si="16"/>
        <v>Black Gram/Udid</v>
      </c>
      <c r="B72" s="9">
        <f t="shared" si="18"/>
        <v>238.76999999999998</v>
      </c>
      <c r="C72" s="9">
        <f t="shared" ref="C72:H72" si="22">(B72/B$65)*C$65</f>
        <v>358.15500000000003</v>
      </c>
      <c r="D72" s="9">
        <f t="shared" si="22"/>
        <v>477.53999999999996</v>
      </c>
      <c r="E72" s="9">
        <f t="shared" si="22"/>
        <v>596.92499999999995</v>
      </c>
      <c r="F72" s="9">
        <f t="shared" si="22"/>
        <v>716.31</v>
      </c>
      <c r="G72" s="9">
        <f t="shared" si="22"/>
        <v>835.69499999999994</v>
      </c>
      <c r="H72" s="9">
        <f t="shared" si="22"/>
        <v>955.07999999999981</v>
      </c>
    </row>
    <row r="73" spans="1:8">
      <c r="A73" s="9" t="str">
        <f t="shared" si="16"/>
        <v>Bajra</v>
      </c>
      <c r="B73" s="9">
        <f t="shared" si="18"/>
        <v>0</v>
      </c>
      <c r="C73" s="9">
        <f t="shared" ref="C73:H73" si="23">(B73/B$65)*C$65</f>
        <v>0</v>
      </c>
      <c r="D73" s="9">
        <f t="shared" si="23"/>
        <v>0</v>
      </c>
      <c r="E73" s="9">
        <f t="shared" si="23"/>
        <v>0</v>
      </c>
      <c r="F73" s="9">
        <f t="shared" si="23"/>
        <v>0</v>
      </c>
      <c r="G73" s="9">
        <f t="shared" si="23"/>
        <v>0</v>
      </c>
      <c r="H73" s="9">
        <f t="shared" si="23"/>
        <v>0</v>
      </c>
    </row>
    <row r="74" spans="1:8">
      <c r="A74" s="9" t="str">
        <f t="shared" si="16"/>
        <v>Jawar</v>
      </c>
      <c r="B74" s="9">
        <f t="shared" si="18"/>
        <v>0</v>
      </c>
      <c r="C74" s="9">
        <f t="shared" ref="C74:H74" si="24">(B74/B$65)*C$65</f>
        <v>0</v>
      </c>
      <c r="D74" s="9">
        <f t="shared" si="24"/>
        <v>0</v>
      </c>
      <c r="E74" s="9">
        <f t="shared" si="24"/>
        <v>0</v>
      </c>
      <c r="F74" s="9">
        <f t="shared" si="24"/>
        <v>0</v>
      </c>
      <c r="G74" s="9">
        <f t="shared" si="24"/>
        <v>0</v>
      </c>
      <c r="H74" s="9">
        <f t="shared" si="24"/>
        <v>0</v>
      </c>
    </row>
    <row r="75" spans="1:8">
      <c r="A75" s="9" t="str">
        <f t="shared" si="16"/>
        <v>Sunflower</v>
      </c>
      <c r="B75" s="9">
        <f t="shared" si="18"/>
        <v>0</v>
      </c>
      <c r="C75" s="9">
        <f t="shared" ref="C75:H75" si="25">(B75/B$65)*C$65</f>
        <v>0</v>
      </c>
      <c r="D75" s="9">
        <f t="shared" si="25"/>
        <v>0</v>
      </c>
      <c r="E75" s="9">
        <f t="shared" si="25"/>
        <v>0</v>
      </c>
      <c r="F75" s="9">
        <f t="shared" si="25"/>
        <v>0</v>
      </c>
      <c r="G75" s="9">
        <f t="shared" si="25"/>
        <v>0</v>
      </c>
      <c r="H75" s="9">
        <f t="shared" si="25"/>
        <v>0</v>
      </c>
    </row>
    <row r="76" spans="1:8">
      <c r="A76" s="9" t="str">
        <f t="shared" si="16"/>
        <v>Wheat</v>
      </c>
      <c r="B76" s="9">
        <f t="shared" ref="B76:B83" si="26">H24*$B$65</f>
        <v>204.66</v>
      </c>
      <c r="C76" s="9">
        <f t="shared" ref="C76:H76" si="27">(B76/B$65)*C$65</f>
        <v>306.99</v>
      </c>
      <c r="D76" s="9">
        <f t="shared" si="27"/>
        <v>409.31999999999994</v>
      </c>
      <c r="E76" s="9">
        <f t="shared" si="27"/>
        <v>511.64999999999992</v>
      </c>
      <c r="F76" s="9">
        <f t="shared" si="27"/>
        <v>613.9799999999999</v>
      </c>
      <c r="G76" s="9">
        <f t="shared" si="27"/>
        <v>716.30999999999983</v>
      </c>
      <c r="H76" s="9">
        <f t="shared" si="27"/>
        <v>818.63999999999976</v>
      </c>
    </row>
    <row r="77" spans="1:8">
      <c r="A77" s="9" t="str">
        <f t="shared" si="16"/>
        <v>Bengal Gram/Channa</v>
      </c>
      <c r="B77" s="9">
        <f t="shared" si="26"/>
        <v>460.48500000000007</v>
      </c>
      <c r="C77" s="9">
        <f t="shared" ref="C77:H77" si="28">(B77/B$65)*C$65</f>
        <v>690.72750000000019</v>
      </c>
      <c r="D77" s="9">
        <f t="shared" si="28"/>
        <v>920.97000000000014</v>
      </c>
      <c r="E77" s="9">
        <f t="shared" si="28"/>
        <v>1151.2125000000001</v>
      </c>
      <c r="F77" s="9">
        <f t="shared" si="28"/>
        <v>1381.4550000000002</v>
      </c>
      <c r="G77" s="9">
        <f t="shared" si="28"/>
        <v>1611.6975</v>
      </c>
      <c r="H77" s="9">
        <f t="shared" si="28"/>
        <v>1841.94</v>
      </c>
    </row>
    <row r="78" spans="1:8">
      <c r="A78" s="9" t="str">
        <f t="shared" si="16"/>
        <v>Jawar</v>
      </c>
      <c r="B78" s="9">
        <f t="shared" si="26"/>
        <v>0</v>
      </c>
      <c r="C78" s="9">
        <f t="shared" ref="C78:H78" si="29">(B78/B$65)*C$65</f>
        <v>0</v>
      </c>
      <c r="D78" s="9">
        <f t="shared" si="29"/>
        <v>0</v>
      </c>
      <c r="E78" s="9">
        <f t="shared" si="29"/>
        <v>0</v>
      </c>
      <c r="F78" s="9">
        <f t="shared" si="29"/>
        <v>0</v>
      </c>
      <c r="G78" s="9">
        <f t="shared" si="29"/>
        <v>0</v>
      </c>
      <c r="H78" s="9">
        <f t="shared" si="29"/>
        <v>0</v>
      </c>
    </row>
    <row r="79" spans="1:8">
      <c r="A79" s="9" t="str">
        <f t="shared" si="16"/>
        <v>Maize</v>
      </c>
      <c r="B79" s="9">
        <f t="shared" si="26"/>
        <v>0</v>
      </c>
      <c r="C79" s="9">
        <f t="shared" ref="C79:H79" si="30">(B79/B$65)*C$65</f>
        <v>0</v>
      </c>
      <c r="D79" s="9">
        <f t="shared" si="30"/>
        <v>0</v>
      </c>
      <c r="E79" s="9">
        <f t="shared" si="30"/>
        <v>0</v>
      </c>
      <c r="F79" s="9">
        <f t="shared" si="30"/>
        <v>0</v>
      </c>
      <c r="G79" s="9">
        <f t="shared" si="30"/>
        <v>0</v>
      </c>
      <c r="H79" s="9">
        <f t="shared" si="30"/>
        <v>0</v>
      </c>
    </row>
    <row r="80" spans="1:8">
      <c r="A80" s="9" t="str">
        <f t="shared" si="16"/>
        <v>Safflower</v>
      </c>
      <c r="B80" s="9">
        <f t="shared" si="26"/>
        <v>0</v>
      </c>
      <c r="C80" s="9">
        <f t="shared" ref="C80:H80" si="31">(B80/B$65)*C$65</f>
        <v>0</v>
      </c>
      <c r="D80" s="9">
        <f t="shared" si="31"/>
        <v>0</v>
      </c>
      <c r="E80" s="9">
        <f t="shared" si="31"/>
        <v>0</v>
      </c>
      <c r="F80" s="9">
        <f t="shared" si="31"/>
        <v>0</v>
      </c>
      <c r="G80" s="9">
        <f t="shared" si="31"/>
        <v>0</v>
      </c>
      <c r="H80" s="9">
        <f t="shared" si="31"/>
        <v>0</v>
      </c>
    </row>
    <row r="81" spans="1:8">
      <c r="A81" s="9" t="str">
        <f t="shared" si="16"/>
        <v>Groundnut</v>
      </c>
      <c r="B81" s="9">
        <f t="shared" si="26"/>
        <v>322.33949999999999</v>
      </c>
      <c r="C81" s="9">
        <f t="shared" ref="C81:H81" si="32">(B81/B$65)*C$65</f>
        <v>483.50925000000001</v>
      </c>
      <c r="D81" s="9">
        <f t="shared" si="32"/>
        <v>644.67899999999997</v>
      </c>
      <c r="E81" s="9">
        <f t="shared" si="32"/>
        <v>805.84874999999988</v>
      </c>
      <c r="F81" s="9">
        <f t="shared" si="32"/>
        <v>967.01849999999979</v>
      </c>
      <c r="G81" s="9">
        <f t="shared" si="32"/>
        <v>1128.1882499999997</v>
      </c>
      <c r="H81" s="9">
        <f t="shared" si="32"/>
        <v>1289.3579999999997</v>
      </c>
    </row>
    <row r="82" spans="1:8">
      <c r="A82" s="9">
        <f t="shared" si="16"/>
        <v>0</v>
      </c>
      <c r="B82" s="9">
        <f t="shared" si="26"/>
        <v>0</v>
      </c>
      <c r="C82" s="9">
        <f t="shared" ref="C82:H82" si="33">(B82/B$65)*C$65</f>
        <v>0</v>
      </c>
      <c r="D82" s="9">
        <f t="shared" si="33"/>
        <v>0</v>
      </c>
      <c r="E82" s="9">
        <f t="shared" si="33"/>
        <v>0</v>
      </c>
      <c r="F82" s="9">
        <f t="shared" si="33"/>
        <v>0</v>
      </c>
      <c r="G82" s="9">
        <f t="shared" si="33"/>
        <v>0</v>
      </c>
      <c r="H82" s="9">
        <f t="shared" si="33"/>
        <v>0</v>
      </c>
    </row>
    <row r="83" spans="1:8">
      <c r="A83" s="9">
        <f t="shared" si="16"/>
        <v>0</v>
      </c>
      <c r="B83" s="9">
        <f t="shared" si="26"/>
        <v>0</v>
      </c>
      <c r="C83" s="9">
        <f t="shared" ref="C83:H83" si="34">(B83/B$65)*C$65</f>
        <v>0</v>
      </c>
      <c r="D83" s="9">
        <f t="shared" si="34"/>
        <v>0</v>
      </c>
      <c r="E83" s="9">
        <f t="shared" si="34"/>
        <v>0</v>
      </c>
      <c r="F83" s="9">
        <f t="shared" si="34"/>
        <v>0</v>
      </c>
      <c r="G83" s="9">
        <f t="shared" si="34"/>
        <v>0</v>
      </c>
      <c r="H83" s="9">
        <f t="shared" si="34"/>
        <v>0</v>
      </c>
    </row>
    <row r="84" spans="1:8">
      <c r="A84" s="9" t="str">
        <f t="shared" si="16"/>
        <v>Groundnut</v>
      </c>
      <c r="B84" s="9">
        <f>H33*$B$65</f>
        <v>49.118400000000001</v>
      </c>
      <c r="C84" s="9">
        <f t="shared" ref="C84:H84" si="35">(B84/B$65)*C$65</f>
        <v>73.677600000000012</v>
      </c>
      <c r="D84" s="9">
        <f t="shared" si="35"/>
        <v>98.236800000000017</v>
      </c>
      <c r="E84" s="9">
        <f t="shared" si="35"/>
        <v>122.79600000000002</v>
      </c>
      <c r="F84" s="9">
        <f t="shared" si="35"/>
        <v>147.35520000000002</v>
      </c>
      <c r="G84" s="9">
        <f t="shared" si="35"/>
        <v>171.91440000000003</v>
      </c>
      <c r="H84" s="9">
        <f t="shared" si="35"/>
        <v>196.47360000000003</v>
      </c>
    </row>
    <row r="85" spans="1:8">
      <c r="A85" s="9">
        <f t="shared" si="16"/>
        <v>0</v>
      </c>
      <c r="B85" s="9">
        <f>H34*$B$65</f>
        <v>0</v>
      </c>
      <c r="C85" s="9">
        <f t="shared" ref="C85:H85" si="36">(B85/B$65)*C$65</f>
        <v>0</v>
      </c>
      <c r="D85" s="9">
        <f t="shared" si="36"/>
        <v>0</v>
      </c>
      <c r="E85" s="9">
        <f t="shared" si="36"/>
        <v>0</v>
      </c>
      <c r="F85" s="9">
        <f t="shared" si="36"/>
        <v>0</v>
      </c>
      <c r="G85" s="9">
        <f t="shared" si="36"/>
        <v>0</v>
      </c>
      <c r="H85" s="9">
        <f t="shared" si="36"/>
        <v>0</v>
      </c>
    </row>
    <row r="86" spans="1:8">
      <c r="A86" s="9">
        <f t="shared" si="16"/>
        <v>0</v>
      </c>
      <c r="B86" s="9">
        <f>H35*$B$65</f>
        <v>0</v>
      </c>
      <c r="C86" s="9">
        <f t="shared" ref="C86:H86" si="37">(B86/B$65)*C$65</f>
        <v>0</v>
      </c>
      <c r="D86" s="9">
        <f t="shared" si="37"/>
        <v>0</v>
      </c>
      <c r="E86" s="9">
        <f t="shared" si="37"/>
        <v>0</v>
      </c>
      <c r="F86" s="9">
        <f t="shared" si="37"/>
        <v>0</v>
      </c>
      <c r="G86" s="9">
        <f t="shared" si="37"/>
        <v>0</v>
      </c>
      <c r="H86" s="9">
        <f t="shared" si="37"/>
        <v>0</v>
      </c>
    </row>
    <row r="87" spans="1:8">
      <c r="A87" s="9">
        <f t="shared" si="16"/>
        <v>0</v>
      </c>
      <c r="B87" s="9">
        <f>H36*$B$65</f>
        <v>0</v>
      </c>
      <c r="C87" s="9">
        <f t="shared" ref="C87:H87" si="38">(B87/B$65)*C$65</f>
        <v>0</v>
      </c>
      <c r="D87" s="9">
        <f t="shared" si="38"/>
        <v>0</v>
      </c>
      <c r="E87" s="9">
        <f t="shared" si="38"/>
        <v>0</v>
      </c>
      <c r="F87" s="9">
        <f t="shared" si="38"/>
        <v>0</v>
      </c>
      <c r="G87" s="9">
        <f t="shared" si="38"/>
        <v>0</v>
      </c>
      <c r="H87" s="9">
        <f t="shared" si="38"/>
        <v>0</v>
      </c>
    </row>
    <row r="89" spans="1:8">
      <c r="A89" s="434" t="s">
        <v>577</v>
      </c>
      <c r="B89" s="435"/>
      <c r="C89" s="435"/>
      <c r="D89" s="435"/>
      <c r="E89" s="435"/>
      <c r="F89" s="435"/>
      <c r="G89" s="435"/>
      <c r="H89" s="436"/>
    </row>
    <row r="90" spans="1:8">
      <c r="A90" s="418" t="s">
        <v>0</v>
      </c>
      <c r="B90" s="294">
        <v>0.65</v>
      </c>
      <c r="C90" s="295">
        <f>B90+0.05</f>
        <v>0.70000000000000007</v>
      </c>
      <c r="D90" s="295">
        <f t="shared" ref="D90:G90" si="39">C90+0.05</f>
        <v>0.75000000000000011</v>
      </c>
      <c r="E90" s="295">
        <f t="shared" si="39"/>
        <v>0.80000000000000016</v>
      </c>
      <c r="F90" s="295">
        <f t="shared" si="39"/>
        <v>0.8500000000000002</v>
      </c>
      <c r="G90" s="295">
        <f t="shared" si="39"/>
        <v>0.90000000000000024</v>
      </c>
      <c r="H90" s="295">
        <f>G90+0.05</f>
        <v>0.95000000000000029</v>
      </c>
    </row>
    <row r="91" spans="1:8">
      <c r="A91" s="419"/>
      <c r="B91" s="269" t="s">
        <v>2</v>
      </c>
      <c r="C91" s="269" t="s">
        <v>3</v>
      </c>
      <c r="D91" s="269" t="s">
        <v>4</v>
      </c>
      <c r="E91" s="269" t="s">
        <v>5</v>
      </c>
      <c r="F91" s="269" t="s">
        <v>6</v>
      </c>
      <c r="G91" s="269" t="s">
        <v>168</v>
      </c>
      <c r="H91" s="269" t="s">
        <v>167</v>
      </c>
    </row>
    <row r="92" spans="1:8">
      <c r="A92" s="9" t="str">
        <f t="shared" ref="A92:A112" si="40">A67</f>
        <v>Soybean</v>
      </c>
      <c r="B92" s="9">
        <f t="shared" ref="B92:B100" si="41">D14*$B$90</f>
        <v>0</v>
      </c>
      <c r="C92" s="9">
        <f t="shared" ref="C92:H92" si="42">(B92/B$90)*C$90</f>
        <v>0</v>
      </c>
      <c r="D92" s="9">
        <f t="shared" si="42"/>
        <v>0</v>
      </c>
      <c r="E92" s="9">
        <f t="shared" si="42"/>
        <v>0</v>
      </c>
      <c r="F92" s="9">
        <f t="shared" si="42"/>
        <v>0</v>
      </c>
      <c r="G92" s="9">
        <f t="shared" si="42"/>
        <v>0</v>
      </c>
      <c r="H92" s="9">
        <f t="shared" si="42"/>
        <v>0</v>
      </c>
    </row>
    <row r="93" spans="1:8">
      <c r="A93" s="9" t="str">
        <f t="shared" si="40"/>
        <v>Red Gram/Tur</v>
      </c>
      <c r="B93" s="9">
        <f t="shared" si="41"/>
        <v>985.4</v>
      </c>
      <c r="C93" s="9">
        <f t="shared" ref="C93:C113" si="43">(B93/B$90)*C$90</f>
        <v>1061.2</v>
      </c>
      <c r="D93" s="9">
        <f>(C93/C90)*D90</f>
        <v>1137.0000000000002</v>
      </c>
      <c r="E93" s="9">
        <f t="shared" ref="E93:G93" si="44">(D93/D90)*E90</f>
        <v>1212.8000000000002</v>
      </c>
      <c r="F93" s="9">
        <f t="shared" si="44"/>
        <v>1288.6000000000004</v>
      </c>
      <c r="G93" s="9">
        <f t="shared" si="44"/>
        <v>1364.4000000000003</v>
      </c>
      <c r="H93" s="9">
        <f>(G93/G90)*H90</f>
        <v>1440.2000000000005</v>
      </c>
    </row>
    <row r="94" spans="1:8">
      <c r="A94" s="9" t="str">
        <f t="shared" si="40"/>
        <v>Paddy/Rice</v>
      </c>
      <c r="B94" s="9">
        <f t="shared" si="41"/>
        <v>0</v>
      </c>
      <c r="C94" s="9">
        <f t="shared" si="43"/>
        <v>0</v>
      </c>
      <c r="D94" s="9">
        <f t="shared" ref="D94:H103" si="45">(C94/C$90)*D$90</f>
        <v>0</v>
      </c>
      <c r="E94" s="9">
        <f t="shared" si="45"/>
        <v>0</v>
      </c>
      <c r="F94" s="9">
        <f t="shared" si="45"/>
        <v>0</v>
      </c>
      <c r="G94" s="9">
        <f t="shared" si="45"/>
        <v>0</v>
      </c>
      <c r="H94" s="9">
        <f t="shared" si="45"/>
        <v>0</v>
      </c>
    </row>
    <row r="95" spans="1:8">
      <c r="A95" s="9" t="str">
        <f t="shared" si="40"/>
        <v>Green Gram/ Moong</v>
      </c>
      <c r="B95" s="9">
        <f t="shared" si="41"/>
        <v>443.42999999999995</v>
      </c>
      <c r="C95" s="9">
        <f t="shared" si="43"/>
        <v>477.54</v>
      </c>
      <c r="D95" s="9">
        <f t="shared" si="45"/>
        <v>511.65000000000003</v>
      </c>
      <c r="E95" s="9">
        <f t="shared" si="45"/>
        <v>545.7600000000001</v>
      </c>
      <c r="F95" s="9">
        <f t="shared" si="45"/>
        <v>579.87000000000012</v>
      </c>
      <c r="G95" s="9">
        <f t="shared" si="45"/>
        <v>613.98000000000013</v>
      </c>
      <c r="H95" s="9">
        <f t="shared" si="45"/>
        <v>648.09000000000015</v>
      </c>
    </row>
    <row r="96" spans="1:8">
      <c r="A96" s="9" t="str">
        <f t="shared" si="40"/>
        <v>Maize</v>
      </c>
      <c r="B96" s="9">
        <f t="shared" si="41"/>
        <v>0</v>
      </c>
      <c r="C96" s="9">
        <f t="shared" si="43"/>
        <v>0</v>
      </c>
      <c r="D96" s="9">
        <f t="shared" si="45"/>
        <v>0</v>
      </c>
      <c r="E96" s="9">
        <f t="shared" si="45"/>
        <v>0</v>
      </c>
      <c r="F96" s="9">
        <f t="shared" si="45"/>
        <v>0</v>
      </c>
      <c r="G96" s="9">
        <f t="shared" si="45"/>
        <v>0</v>
      </c>
      <c r="H96" s="9">
        <f t="shared" si="45"/>
        <v>0</v>
      </c>
    </row>
    <row r="97" spans="1:8">
      <c r="A97" s="9" t="str">
        <f t="shared" si="40"/>
        <v>Black Gram/Udid</v>
      </c>
      <c r="B97" s="9">
        <f t="shared" si="41"/>
        <v>246.35</v>
      </c>
      <c r="C97" s="9">
        <f t="shared" si="43"/>
        <v>265.3</v>
      </c>
      <c r="D97" s="9">
        <f t="shared" si="45"/>
        <v>284.25000000000006</v>
      </c>
      <c r="E97" s="9">
        <f t="shared" si="45"/>
        <v>303.20000000000005</v>
      </c>
      <c r="F97" s="9">
        <f t="shared" si="45"/>
        <v>322.15000000000009</v>
      </c>
      <c r="G97" s="9">
        <f t="shared" si="45"/>
        <v>341.10000000000008</v>
      </c>
      <c r="H97" s="9">
        <f t="shared" si="45"/>
        <v>360.05000000000013</v>
      </c>
    </row>
    <row r="98" spans="1:8">
      <c r="A98" s="9" t="str">
        <f t="shared" si="40"/>
        <v>Bajra</v>
      </c>
      <c r="B98" s="9">
        <f t="shared" si="41"/>
        <v>0</v>
      </c>
      <c r="C98" s="9">
        <f t="shared" si="43"/>
        <v>0</v>
      </c>
      <c r="D98" s="9">
        <f t="shared" si="45"/>
        <v>0</v>
      </c>
      <c r="E98" s="9">
        <f t="shared" si="45"/>
        <v>0</v>
      </c>
      <c r="F98" s="9">
        <f t="shared" si="45"/>
        <v>0</v>
      </c>
      <c r="G98" s="9">
        <f t="shared" si="45"/>
        <v>0</v>
      </c>
      <c r="H98" s="9">
        <f t="shared" si="45"/>
        <v>0</v>
      </c>
    </row>
    <row r="99" spans="1:8">
      <c r="A99" s="9" t="str">
        <f t="shared" si="40"/>
        <v>Jawar</v>
      </c>
      <c r="B99" s="9">
        <f t="shared" si="41"/>
        <v>0</v>
      </c>
      <c r="C99" s="9">
        <f t="shared" si="43"/>
        <v>0</v>
      </c>
      <c r="D99" s="9">
        <f t="shared" si="45"/>
        <v>0</v>
      </c>
      <c r="E99" s="9">
        <f t="shared" si="45"/>
        <v>0</v>
      </c>
      <c r="F99" s="9">
        <f t="shared" si="45"/>
        <v>0</v>
      </c>
      <c r="G99" s="9">
        <f t="shared" si="45"/>
        <v>0</v>
      </c>
      <c r="H99" s="9">
        <f t="shared" si="45"/>
        <v>0</v>
      </c>
    </row>
    <row r="100" spans="1:8">
      <c r="A100" s="9" t="str">
        <f t="shared" si="40"/>
        <v>Sunflower</v>
      </c>
      <c r="B100" s="9">
        <f t="shared" si="41"/>
        <v>0</v>
      </c>
      <c r="C100" s="9">
        <f t="shared" si="43"/>
        <v>0</v>
      </c>
      <c r="D100" s="9">
        <f t="shared" si="45"/>
        <v>0</v>
      </c>
      <c r="E100" s="9">
        <f t="shared" si="45"/>
        <v>0</v>
      </c>
      <c r="F100" s="9">
        <f t="shared" si="45"/>
        <v>0</v>
      </c>
      <c r="G100" s="9">
        <f t="shared" si="45"/>
        <v>0</v>
      </c>
      <c r="H100" s="9">
        <f t="shared" si="45"/>
        <v>0</v>
      </c>
    </row>
    <row r="101" spans="1:8">
      <c r="A101" s="9" t="str">
        <f t="shared" si="40"/>
        <v>Wheat</v>
      </c>
      <c r="B101" s="9">
        <f t="shared" ref="B101:B108" si="46">D24*$B$90</f>
        <v>147.81</v>
      </c>
      <c r="C101" s="9">
        <f t="shared" si="43"/>
        <v>159.18</v>
      </c>
      <c r="D101" s="9">
        <f t="shared" si="45"/>
        <v>170.55</v>
      </c>
      <c r="E101" s="9">
        <f t="shared" si="45"/>
        <v>181.92000000000002</v>
      </c>
      <c r="F101" s="9">
        <f t="shared" si="45"/>
        <v>193.29000000000002</v>
      </c>
      <c r="G101" s="9">
        <f t="shared" si="45"/>
        <v>204.66000000000003</v>
      </c>
      <c r="H101" s="9">
        <f t="shared" si="45"/>
        <v>216.03000000000006</v>
      </c>
    </row>
    <row r="102" spans="1:8">
      <c r="A102" s="9" t="str">
        <f t="shared" si="40"/>
        <v>Bengal Gram/Channa</v>
      </c>
      <c r="B102" s="9">
        <f t="shared" si="46"/>
        <v>332.57250000000005</v>
      </c>
      <c r="C102" s="9">
        <f t="shared" si="43"/>
        <v>358.15500000000003</v>
      </c>
      <c r="D102" s="9">
        <f t="shared" si="45"/>
        <v>383.73750000000001</v>
      </c>
      <c r="E102" s="9">
        <f t="shared" si="45"/>
        <v>409.32</v>
      </c>
      <c r="F102" s="9">
        <f t="shared" si="45"/>
        <v>434.90250000000003</v>
      </c>
      <c r="G102" s="9">
        <f t="shared" si="45"/>
        <v>460.48500000000007</v>
      </c>
      <c r="H102" s="9">
        <f t="shared" si="45"/>
        <v>486.06750000000005</v>
      </c>
    </row>
    <row r="103" spans="1:8">
      <c r="A103" s="9" t="str">
        <f t="shared" si="40"/>
        <v>Jawar</v>
      </c>
      <c r="B103" s="9">
        <f t="shared" si="46"/>
        <v>0</v>
      </c>
      <c r="C103" s="9">
        <f t="shared" si="43"/>
        <v>0</v>
      </c>
      <c r="D103" s="9">
        <f t="shared" si="45"/>
        <v>0</v>
      </c>
      <c r="E103" s="9">
        <f t="shared" si="45"/>
        <v>0</v>
      </c>
      <c r="F103" s="9">
        <f t="shared" si="45"/>
        <v>0</v>
      </c>
      <c r="G103" s="9">
        <f t="shared" si="45"/>
        <v>0</v>
      </c>
      <c r="H103" s="9">
        <f t="shared" si="45"/>
        <v>0</v>
      </c>
    </row>
    <row r="104" spans="1:8">
      <c r="A104" s="9" t="str">
        <f t="shared" si="40"/>
        <v>Maize</v>
      </c>
      <c r="B104" s="9">
        <f t="shared" si="46"/>
        <v>0</v>
      </c>
      <c r="C104" s="9">
        <f t="shared" si="43"/>
        <v>0</v>
      </c>
      <c r="D104" s="9">
        <f t="shared" ref="D104:H113" si="47">(C104/C$90)*D$90</f>
        <v>0</v>
      </c>
      <c r="E104" s="9">
        <f t="shared" si="47"/>
        <v>0</v>
      </c>
      <c r="F104" s="9">
        <f t="shared" si="47"/>
        <v>0</v>
      </c>
      <c r="G104" s="9">
        <f t="shared" si="47"/>
        <v>0</v>
      </c>
      <c r="H104" s="9">
        <f t="shared" si="47"/>
        <v>0</v>
      </c>
    </row>
    <row r="105" spans="1:8">
      <c r="A105" s="9" t="str">
        <f t="shared" si="40"/>
        <v>Safflower</v>
      </c>
      <c r="B105" s="9">
        <f t="shared" si="46"/>
        <v>0</v>
      </c>
      <c r="C105" s="9">
        <f t="shared" si="43"/>
        <v>0</v>
      </c>
      <c r="D105" s="9">
        <f t="shared" si="47"/>
        <v>0</v>
      </c>
      <c r="E105" s="9">
        <f t="shared" si="47"/>
        <v>0</v>
      </c>
      <c r="F105" s="9">
        <f t="shared" si="47"/>
        <v>0</v>
      </c>
      <c r="G105" s="9">
        <f t="shared" si="47"/>
        <v>0</v>
      </c>
      <c r="H105" s="9">
        <f t="shared" si="47"/>
        <v>0</v>
      </c>
    </row>
    <row r="106" spans="1:8">
      <c r="A106" s="9" t="str">
        <f t="shared" si="40"/>
        <v>Groundnut</v>
      </c>
      <c r="B106" s="9">
        <f t="shared" si="46"/>
        <v>258.66750000000002</v>
      </c>
      <c r="C106" s="9">
        <f t="shared" si="43"/>
        <v>278.565</v>
      </c>
      <c r="D106" s="9">
        <f t="shared" si="47"/>
        <v>298.46249999999998</v>
      </c>
      <c r="E106" s="9">
        <f t="shared" si="47"/>
        <v>318.36</v>
      </c>
      <c r="F106" s="9">
        <f t="shared" si="47"/>
        <v>338.25749999999999</v>
      </c>
      <c r="G106" s="9">
        <f t="shared" si="47"/>
        <v>358.15499999999997</v>
      </c>
      <c r="H106" s="9">
        <f t="shared" si="47"/>
        <v>378.05250000000001</v>
      </c>
    </row>
    <row r="107" spans="1:8">
      <c r="A107" s="9">
        <f t="shared" si="40"/>
        <v>0</v>
      </c>
      <c r="B107" s="9">
        <f t="shared" si="46"/>
        <v>0</v>
      </c>
      <c r="C107" s="9">
        <f t="shared" si="43"/>
        <v>0</v>
      </c>
      <c r="D107" s="9">
        <f t="shared" si="47"/>
        <v>0</v>
      </c>
      <c r="E107" s="9">
        <f t="shared" si="47"/>
        <v>0</v>
      </c>
      <c r="F107" s="9">
        <f t="shared" si="47"/>
        <v>0</v>
      </c>
      <c r="G107" s="9">
        <f t="shared" si="47"/>
        <v>0</v>
      </c>
      <c r="H107" s="9">
        <f t="shared" si="47"/>
        <v>0</v>
      </c>
    </row>
    <row r="108" spans="1:8">
      <c r="A108" s="9">
        <f t="shared" si="40"/>
        <v>0</v>
      </c>
      <c r="B108" s="9">
        <f t="shared" si="46"/>
        <v>0</v>
      </c>
      <c r="C108" s="9">
        <f t="shared" si="43"/>
        <v>0</v>
      </c>
      <c r="D108" s="9">
        <f t="shared" si="47"/>
        <v>0</v>
      </c>
      <c r="E108" s="9">
        <f t="shared" si="47"/>
        <v>0</v>
      </c>
      <c r="F108" s="9">
        <f t="shared" si="47"/>
        <v>0</v>
      </c>
      <c r="G108" s="9">
        <f t="shared" si="47"/>
        <v>0</v>
      </c>
      <c r="H108" s="9">
        <f t="shared" si="47"/>
        <v>0</v>
      </c>
    </row>
    <row r="109" spans="1:8">
      <c r="A109" s="9" t="str">
        <f t="shared" si="40"/>
        <v>Groundnut</v>
      </c>
      <c r="B109" s="9">
        <f>D33*$B$90</f>
        <v>39.416000000000004</v>
      </c>
      <c r="C109" s="9">
        <f t="shared" si="43"/>
        <v>42.448000000000008</v>
      </c>
      <c r="D109" s="9">
        <f t="shared" si="47"/>
        <v>45.480000000000011</v>
      </c>
      <c r="E109" s="9">
        <f t="shared" si="47"/>
        <v>48.512000000000015</v>
      </c>
      <c r="F109" s="9">
        <f t="shared" si="47"/>
        <v>51.544000000000018</v>
      </c>
      <c r="G109" s="9">
        <f t="shared" si="47"/>
        <v>54.576000000000022</v>
      </c>
      <c r="H109" s="9">
        <f t="shared" si="47"/>
        <v>57.608000000000025</v>
      </c>
    </row>
    <row r="110" spans="1:8">
      <c r="A110" s="9">
        <f t="shared" si="40"/>
        <v>0</v>
      </c>
      <c r="B110" s="9">
        <f>D34*$B$90</f>
        <v>0</v>
      </c>
      <c r="C110" s="9">
        <f t="shared" si="43"/>
        <v>0</v>
      </c>
      <c r="D110" s="9">
        <f t="shared" si="47"/>
        <v>0</v>
      </c>
      <c r="E110" s="9">
        <f t="shared" si="47"/>
        <v>0</v>
      </c>
      <c r="F110" s="9">
        <f t="shared" si="47"/>
        <v>0</v>
      </c>
      <c r="G110" s="9">
        <f t="shared" si="47"/>
        <v>0</v>
      </c>
      <c r="H110" s="9">
        <f t="shared" si="47"/>
        <v>0</v>
      </c>
    </row>
    <row r="111" spans="1:8">
      <c r="A111" s="9">
        <f t="shared" si="40"/>
        <v>0</v>
      </c>
      <c r="B111" s="9">
        <f>D34*$B$90</f>
        <v>0</v>
      </c>
      <c r="C111" s="9">
        <f t="shared" si="43"/>
        <v>0</v>
      </c>
      <c r="D111" s="9">
        <f t="shared" si="47"/>
        <v>0</v>
      </c>
      <c r="E111" s="9">
        <f t="shared" si="47"/>
        <v>0</v>
      </c>
      <c r="F111" s="9">
        <f t="shared" si="47"/>
        <v>0</v>
      </c>
      <c r="G111" s="9">
        <f t="shared" si="47"/>
        <v>0</v>
      </c>
      <c r="H111" s="9">
        <f t="shared" si="47"/>
        <v>0</v>
      </c>
    </row>
    <row r="112" spans="1:8">
      <c r="A112" s="9">
        <f t="shared" si="40"/>
        <v>0</v>
      </c>
      <c r="B112" s="9">
        <f>D36*$B$90</f>
        <v>0</v>
      </c>
      <c r="C112" s="9">
        <f t="shared" si="43"/>
        <v>0</v>
      </c>
      <c r="D112" s="9">
        <f t="shared" si="47"/>
        <v>0</v>
      </c>
      <c r="E112" s="9">
        <f t="shared" si="47"/>
        <v>0</v>
      </c>
      <c r="F112" s="9">
        <f t="shared" si="47"/>
        <v>0</v>
      </c>
      <c r="G112" s="9">
        <f t="shared" si="47"/>
        <v>0</v>
      </c>
      <c r="H112" s="9">
        <f t="shared" si="47"/>
        <v>0</v>
      </c>
    </row>
    <row r="113" spans="1:9">
      <c r="A113" s="9"/>
      <c r="B113" s="9">
        <f>D37*$B$90</f>
        <v>0</v>
      </c>
      <c r="C113" s="9">
        <f t="shared" si="43"/>
        <v>0</v>
      </c>
      <c r="D113" s="9">
        <f t="shared" si="47"/>
        <v>0</v>
      </c>
      <c r="E113" s="9">
        <f t="shared" si="47"/>
        <v>0</v>
      </c>
      <c r="F113" s="9">
        <f t="shared" si="47"/>
        <v>0</v>
      </c>
      <c r="G113" s="9">
        <f t="shared" si="47"/>
        <v>0</v>
      </c>
      <c r="H113" s="9">
        <f t="shared" si="47"/>
        <v>0</v>
      </c>
    </row>
    <row r="115" spans="1:9">
      <c r="C115" s="4"/>
      <c r="D115" s="6"/>
      <c r="E115" s="6"/>
      <c r="F115" s="6"/>
      <c r="G115" s="6"/>
      <c r="H115" s="6"/>
      <c r="I115" s="6"/>
    </row>
    <row r="116" spans="1:9">
      <c r="A116" t="s">
        <v>546</v>
      </c>
      <c r="C116" s="13"/>
      <c r="D116" s="13"/>
      <c r="E116" s="13"/>
      <c r="F116" s="13"/>
      <c r="G116" s="13"/>
      <c r="H116" s="13"/>
      <c r="I116" s="13"/>
    </row>
    <row r="117" spans="1:9">
      <c r="A117">
        <v>1</v>
      </c>
      <c r="B117" t="s">
        <v>599</v>
      </c>
    </row>
    <row r="118" spans="1:9">
      <c r="A118">
        <v>2</v>
      </c>
      <c r="B118" t="s">
        <v>600</v>
      </c>
    </row>
    <row r="119" spans="1:9">
      <c r="A119">
        <v>3</v>
      </c>
      <c r="B119" t="s">
        <v>549</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52" orientation="portrait" r:id="rId1"/>
  <colBreaks count="1" manualBreakCount="1">
    <brk id="8" max="113" man="1"/>
  </colBreaks>
</worksheet>
</file>

<file path=xl/worksheets/sheet12.xml><?xml version="1.0" encoding="utf-8"?>
<worksheet xmlns="http://schemas.openxmlformats.org/spreadsheetml/2006/main" xmlns:r="http://schemas.openxmlformats.org/officeDocument/2006/relationships">
  <dimension ref="A1:Z132"/>
  <sheetViews>
    <sheetView view="pageBreakPreview" zoomScale="80" zoomScaleSheetLayoutView="80" workbookViewId="0">
      <selection activeCell="B136" sqref="B136"/>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368" t="s">
        <v>501</v>
      </c>
      <c r="B1" s="368"/>
      <c r="C1" s="368"/>
      <c r="D1" s="368"/>
      <c r="E1" s="368"/>
      <c r="F1" s="368"/>
      <c r="G1" s="368"/>
      <c r="H1" s="368"/>
    </row>
    <row r="2" spans="1:26">
      <c r="B2" s="4"/>
    </row>
    <row r="3" spans="1:26" ht="18.75">
      <c r="A3" s="417" t="s">
        <v>578</v>
      </c>
      <c r="B3" s="417"/>
    </row>
    <row r="4" spans="1:26">
      <c r="A4" s="258" t="s">
        <v>0</v>
      </c>
      <c r="B4" s="269" t="s">
        <v>388</v>
      </c>
      <c r="C4" s="270"/>
      <c r="D4" s="270"/>
      <c r="E4" s="270"/>
      <c r="F4" s="270"/>
      <c r="G4" s="270"/>
      <c r="H4" s="270"/>
    </row>
    <row r="5" spans="1:26">
      <c r="A5" s="9" t="s">
        <v>494</v>
      </c>
      <c r="B5" s="254"/>
      <c r="D5" s="271"/>
      <c r="E5" s="271"/>
      <c r="F5" s="271"/>
      <c r="G5" s="271"/>
      <c r="H5" s="271"/>
    </row>
    <row r="6" spans="1:26">
      <c r="A6" s="9" t="s">
        <v>495</v>
      </c>
      <c r="B6" s="254"/>
      <c r="D6" s="271"/>
      <c r="E6" s="271"/>
      <c r="F6" s="271"/>
      <c r="G6" s="271"/>
      <c r="H6" s="271"/>
    </row>
    <row r="7" spans="1:26">
      <c r="A7" s="2" t="s">
        <v>1</v>
      </c>
      <c r="B7" s="2">
        <f>B5+B6</f>
        <v>0</v>
      </c>
      <c r="C7" s="5"/>
      <c r="D7" s="272"/>
      <c r="E7" s="272"/>
      <c r="F7" s="272"/>
      <c r="G7" s="272"/>
      <c r="H7" s="272"/>
    </row>
    <row r="8" spans="1:26">
      <c r="A8" s="2" t="s">
        <v>496</v>
      </c>
      <c r="B8" s="286">
        <v>1</v>
      </c>
      <c r="C8" s="5"/>
      <c r="D8" s="5"/>
      <c r="E8" s="5"/>
      <c r="F8" s="5"/>
      <c r="G8" s="5"/>
      <c r="H8" s="5"/>
    </row>
    <row r="9" spans="1:26">
      <c r="A9" s="2" t="s">
        <v>497</v>
      </c>
      <c r="B9" s="2">
        <f>B7*B8</f>
        <v>0</v>
      </c>
      <c r="C9" s="272"/>
      <c r="D9" s="272"/>
      <c r="E9" s="272"/>
      <c r="F9" s="272"/>
      <c r="G9" s="272"/>
      <c r="H9" s="272"/>
    </row>
    <row r="10" spans="1:26">
      <c r="J10" t="s">
        <v>453</v>
      </c>
      <c r="O10" t="s">
        <v>449</v>
      </c>
      <c r="U10" t="s">
        <v>450</v>
      </c>
      <c r="Y10" t="s">
        <v>451</v>
      </c>
      <c r="Z10" t="s">
        <v>452</v>
      </c>
    </row>
    <row r="11" spans="1:26" ht="18.75">
      <c r="A11" s="368" t="s">
        <v>579</v>
      </c>
      <c r="B11" s="368"/>
      <c r="C11" s="368"/>
      <c r="D11" s="368"/>
      <c r="E11" s="368"/>
      <c r="F11" s="368"/>
      <c r="G11" s="368"/>
      <c r="H11" s="368"/>
      <c r="I11" s="5"/>
      <c r="J11" s="5"/>
      <c r="K11" s="5"/>
      <c r="L11" s="5"/>
      <c r="M11" s="5"/>
      <c r="N11" s="5"/>
      <c r="O11" s="5"/>
      <c r="P11" s="5"/>
    </row>
    <row r="12" spans="1:26">
      <c r="J12" s="3">
        <v>0.65</v>
      </c>
      <c r="K12" s="267">
        <f>J12+0.05</f>
        <v>0.70000000000000007</v>
      </c>
      <c r="L12" s="267">
        <f t="shared" ref="L12:N12" si="0">K12+0.05</f>
        <v>0.75000000000000011</v>
      </c>
      <c r="M12" s="267">
        <f t="shared" si="0"/>
        <v>0.80000000000000016</v>
      </c>
      <c r="N12" s="267">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58" t="s">
        <v>392</v>
      </c>
      <c r="B13" s="258" t="s">
        <v>393</v>
      </c>
      <c r="C13" s="259" t="s">
        <v>445</v>
      </c>
      <c r="D13" s="259" t="s">
        <v>454</v>
      </c>
      <c r="E13" s="259" t="s">
        <v>455</v>
      </c>
      <c r="F13" s="259" t="s">
        <v>394</v>
      </c>
      <c r="G13" s="259" t="s">
        <v>446</v>
      </c>
      <c r="H13" s="259" t="s">
        <v>395</v>
      </c>
      <c r="O13" s="266" t="s">
        <v>2</v>
      </c>
      <c r="P13" s="266" t="s">
        <v>3</v>
      </c>
      <c r="Q13" s="266" t="s">
        <v>4</v>
      </c>
      <c r="R13" s="266" t="s">
        <v>5</v>
      </c>
      <c r="S13" s="266" t="s">
        <v>6</v>
      </c>
      <c r="T13" s="266" t="s">
        <v>2</v>
      </c>
      <c r="U13" s="266" t="s">
        <v>3</v>
      </c>
      <c r="V13" s="266" t="s">
        <v>4</v>
      </c>
      <c r="W13" s="266" t="s">
        <v>5</v>
      </c>
      <c r="X13" s="266" t="s">
        <v>6</v>
      </c>
    </row>
    <row r="14" spans="1:26">
      <c r="A14" s="421" t="s">
        <v>396</v>
      </c>
      <c r="B14" s="254" t="s">
        <v>484</v>
      </c>
      <c r="C14" s="264">
        <v>0</v>
      </c>
      <c r="D14" s="9">
        <f t="shared" ref="D14:D40" si="3">$B$9*C14</f>
        <v>0</v>
      </c>
      <c r="E14" s="255">
        <v>15</v>
      </c>
      <c r="F14" s="9">
        <f>D14*E14</f>
        <v>0</v>
      </c>
      <c r="G14" s="265">
        <v>0.1</v>
      </c>
      <c r="H14" s="9">
        <f>(F14-F14*G14)</f>
        <v>0</v>
      </c>
      <c r="J14">
        <f>$D$14*J12</f>
        <v>0</v>
      </c>
      <c r="K14">
        <f>$D$14*K12</f>
        <v>0</v>
      </c>
      <c r="L14">
        <f>$D$14*L12</f>
        <v>0</v>
      </c>
      <c r="M14">
        <f>$D$14*M12</f>
        <v>0</v>
      </c>
      <c r="N14">
        <f>$D$14*N12</f>
        <v>0</v>
      </c>
    </row>
    <row r="15" spans="1:26">
      <c r="A15" s="422"/>
      <c r="B15" s="254" t="s">
        <v>485</v>
      </c>
      <c r="C15" s="264">
        <v>0.1</v>
      </c>
      <c r="D15" s="9">
        <f t="shared" si="3"/>
        <v>0</v>
      </c>
      <c r="E15" s="255">
        <v>7</v>
      </c>
      <c r="F15" s="9">
        <f t="shared" ref="F15:F40" si="4">D15*E15</f>
        <v>0</v>
      </c>
      <c r="G15" s="265">
        <v>0.05</v>
      </c>
      <c r="H15" s="9">
        <f>(F15-F15*G15)</f>
        <v>0</v>
      </c>
    </row>
    <row r="16" spans="1:26">
      <c r="A16" s="422"/>
      <c r="B16" s="254" t="s">
        <v>486</v>
      </c>
      <c r="C16" s="264">
        <v>0</v>
      </c>
      <c r="D16" s="9">
        <f t="shared" si="3"/>
        <v>0</v>
      </c>
      <c r="E16" s="255">
        <v>4</v>
      </c>
      <c r="F16" s="9">
        <f t="shared" si="4"/>
        <v>0</v>
      </c>
      <c r="G16" s="265">
        <v>0</v>
      </c>
      <c r="H16" s="9">
        <f t="shared" ref="H16:H40" si="5">(F16-F16*G16)</f>
        <v>0</v>
      </c>
    </row>
    <row r="17" spans="1:8">
      <c r="A17" s="422"/>
      <c r="B17" s="254" t="s">
        <v>487</v>
      </c>
      <c r="C17" s="264">
        <v>0.05</v>
      </c>
      <c r="D17" s="9">
        <f t="shared" si="3"/>
        <v>0</v>
      </c>
      <c r="E17" s="255">
        <v>7</v>
      </c>
      <c r="F17" s="9">
        <f t="shared" si="4"/>
        <v>0</v>
      </c>
      <c r="G17" s="265">
        <v>0.02</v>
      </c>
      <c r="H17" s="9">
        <f t="shared" si="5"/>
        <v>0</v>
      </c>
    </row>
    <row r="18" spans="1:8">
      <c r="A18" s="422"/>
      <c r="B18" s="254" t="s">
        <v>489</v>
      </c>
      <c r="C18" s="264">
        <v>0</v>
      </c>
      <c r="D18" s="9">
        <f t="shared" si="3"/>
        <v>0</v>
      </c>
      <c r="E18" s="255">
        <v>20</v>
      </c>
      <c r="F18" s="9">
        <f t="shared" si="4"/>
        <v>0</v>
      </c>
      <c r="G18" s="265">
        <v>0</v>
      </c>
      <c r="H18" s="9">
        <f t="shared" si="5"/>
        <v>0</v>
      </c>
    </row>
    <row r="19" spans="1:8">
      <c r="A19" s="422"/>
      <c r="B19" s="254"/>
      <c r="C19" s="264">
        <v>0</v>
      </c>
      <c r="D19" s="9">
        <f t="shared" si="3"/>
        <v>0</v>
      </c>
      <c r="E19" s="255">
        <v>7</v>
      </c>
      <c r="F19" s="9">
        <f t="shared" si="4"/>
        <v>0</v>
      </c>
      <c r="G19" s="265">
        <v>0.1</v>
      </c>
      <c r="H19" s="9">
        <f t="shared" si="5"/>
        <v>0</v>
      </c>
    </row>
    <row r="20" spans="1:8">
      <c r="A20" s="422"/>
      <c r="B20" s="254"/>
      <c r="C20" s="264">
        <v>0</v>
      </c>
      <c r="D20" s="9">
        <f t="shared" si="3"/>
        <v>0</v>
      </c>
      <c r="E20" s="255">
        <v>6</v>
      </c>
      <c r="F20" s="9">
        <f t="shared" si="4"/>
        <v>0</v>
      </c>
      <c r="G20" s="265">
        <v>0.02</v>
      </c>
      <c r="H20" s="9">
        <f t="shared" si="5"/>
        <v>0</v>
      </c>
    </row>
    <row r="21" spans="1:8">
      <c r="A21" s="422"/>
      <c r="B21" s="254"/>
      <c r="C21" s="264">
        <v>0</v>
      </c>
      <c r="D21" s="9">
        <f t="shared" si="3"/>
        <v>0</v>
      </c>
      <c r="E21" s="255"/>
      <c r="F21" s="9">
        <f t="shared" si="4"/>
        <v>0</v>
      </c>
      <c r="G21" s="265">
        <v>0</v>
      </c>
      <c r="H21" s="9">
        <f t="shared" si="5"/>
        <v>0</v>
      </c>
    </row>
    <row r="22" spans="1:8">
      <c r="A22" s="423"/>
      <c r="B22" s="254"/>
      <c r="C22" s="264">
        <v>0</v>
      </c>
      <c r="D22" s="9">
        <f t="shared" si="3"/>
        <v>0</v>
      </c>
      <c r="E22" s="255"/>
      <c r="F22" s="9">
        <f t="shared" si="4"/>
        <v>0</v>
      </c>
      <c r="G22" s="265">
        <v>0</v>
      </c>
      <c r="H22" s="9">
        <f t="shared" si="5"/>
        <v>0</v>
      </c>
    </row>
    <row r="23" spans="1:8">
      <c r="A23" s="285" t="s">
        <v>502</v>
      </c>
      <c r="B23" s="279">
        <v>0</v>
      </c>
      <c r="C23" s="280">
        <f>B9*B23</f>
        <v>0</v>
      </c>
      <c r="D23" s="9"/>
      <c r="E23" s="255"/>
      <c r="F23" s="9"/>
      <c r="G23" s="265"/>
      <c r="H23" s="9"/>
    </row>
    <row r="24" spans="1:8">
      <c r="A24" s="421" t="s">
        <v>398</v>
      </c>
      <c r="B24" s="254" t="s">
        <v>484</v>
      </c>
      <c r="C24" s="264">
        <v>0</v>
      </c>
      <c r="D24" s="9">
        <f>C$23*C24</f>
        <v>0</v>
      </c>
      <c r="E24" s="255">
        <v>10</v>
      </c>
      <c r="F24" s="9">
        <f t="shared" si="4"/>
        <v>0</v>
      </c>
      <c r="G24" s="265">
        <v>0.1</v>
      </c>
      <c r="H24" s="9">
        <f t="shared" si="5"/>
        <v>0</v>
      </c>
    </row>
    <row r="25" spans="1:8">
      <c r="A25" s="422"/>
      <c r="B25" s="254" t="s">
        <v>485</v>
      </c>
      <c r="C25" s="264">
        <v>0.1</v>
      </c>
      <c r="D25" s="9">
        <f>C$23*C25</f>
        <v>0</v>
      </c>
      <c r="E25" s="255">
        <v>10</v>
      </c>
      <c r="F25" s="9">
        <f t="shared" si="4"/>
        <v>0</v>
      </c>
      <c r="G25" s="265">
        <v>0.1</v>
      </c>
      <c r="H25" s="9">
        <f t="shared" si="5"/>
        <v>0</v>
      </c>
    </row>
    <row r="26" spans="1:8">
      <c r="A26" s="422"/>
      <c r="B26" s="254" t="s">
        <v>486</v>
      </c>
      <c r="C26" s="264">
        <v>0</v>
      </c>
      <c r="D26" s="9">
        <f>C$23*C26</f>
        <v>0</v>
      </c>
      <c r="E26" s="255">
        <v>10</v>
      </c>
      <c r="F26" s="9">
        <f t="shared" si="4"/>
        <v>0</v>
      </c>
      <c r="G26" s="265">
        <v>0.05</v>
      </c>
      <c r="H26" s="9">
        <f t="shared" si="5"/>
        <v>0</v>
      </c>
    </row>
    <row r="27" spans="1:8">
      <c r="A27" s="422"/>
      <c r="B27" s="254" t="s">
        <v>487</v>
      </c>
      <c r="C27" s="264">
        <v>0</v>
      </c>
      <c r="D27" s="9">
        <f t="shared" ref="D27:D31" si="6">C$23*C27</f>
        <v>0</v>
      </c>
      <c r="E27" s="255">
        <v>20</v>
      </c>
      <c r="F27" s="9">
        <f t="shared" si="4"/>
        <v>0</v>
      </c>
      <c r="G27" s="265">
        <v>0</v>
      </c>
      <c r="H27" s="9">
        <f t="shared" si="5"/>
        <v>0</v>
      </c>
    </row>
    <row r="28" spans="1:8">
      <c r="A28" s="422"/>
      <c r="B28" s="254" t="s">
        <v>488</v>
      </c>
      <c r="C28" s="264">
        <v>0</v>
      </c>
      <c r="D28" s="9">
        <f t="shared" si="6"/>
        <v>0</v>
      </c>
      <c r="E28" s="255"/>
      <c r="F28" s="9">
        <f t="shared" si="4"/>
        <v>0</v>
      </c>
      <c r="G28" s="265">
        <v>0</v>
      </c>
      <c r="H28" s="9">
        <f t="shared" si="5"/>
        <v>0</v>
      </c>
    </row>
    <row r="29" spans="1:8">
      <c r="A29" s="422"/>
      <c r="B29" s="254"/>
      <c r="C29" s="264">
        <v>0</v>
      </c>
      <c r="D29" s="9">
        <f t="shared" si="6"/>
        <v>0</v>
      </c>
      <c r="E29" s="255"/>
      <c r="F29" s="9">
        <f t="shared" si="4"/>
        <v>0</v>
      </c>
      <c r="G29" s="265">
        <v>0</v>
      </c>
      <c r="H29" s="9">
        <f t="shared" si="5"/>
        <v>0</v>
      </c>
    </row>
    <row r="30" spans="1:8">
      <c r="A30" s="422"/>
      <c r="B30" s="254"/>
      <c r="C30" s="264">
        <v>0</v>
      </c>
      <c r="D30" s="9">
        <f t="shared" si="6"/>
        <v>0</v>
      </c>
      <c r="E30" s="255"/>
      <c r="F30" s="9">
        <f t="shared" si="4"/>
        <v>0</v>
      </c>
      <c r="G30" s="265">
        <v>0</v>
      </c>
      <c r="H30" s="9">
        <f t="shared" si="5"/>
        <v>0</v>
      </c>
    </row>
    <row r="31" spans="1:8">
      <c r="A31" s="423"/>
      <c r="B31" s="254"/>
      <c r="C31" s="264">
        <v>0</v>
      </c>
      <c r="D31" s="9">
        <f t="shared" si="6"/>
        <v>0</v>
      </c>
      <c r="E31" s="255"/>
      <c r="F31" s="9">
        <f t="shared" si="4"/>
        <v>0</v>
      </c>
      <c r="G31" s="265">
        <v>0</v>
      </c>
      <c r="H31" s="9">
        <f t="shared" si="5"/>
        <v>0</v>
      </c>
    </row>
    <row r="32" spans="1:8">
      <c r="A32" s="285" t="s">
        <v>503</v>
      </c>
      <c r="B32" s="279">
        <v>0</v>
      </c>
      <c r="C32" s="254">
        <f>B9*B32</f>
        <v>0</v>
      </c>
      <c r="D32" s="9"/>
      <c r="E32" s="255"/>
      <c r="F32" s="9"/>
      <c r="G32" s="265"/>
      <c r="H32" s="9"/>
    </row>
    <row r="33" spans="1:8">
      <c r="A33" s="282" t="s">
        <v>460</v>
      </c>
      <c r="B33" s="254"/>
      <c r="C33" s="264">
        <v>0</v>
      </c>
      <c r="D33" s="9">
        <f>C$32*C33</f>
        <v>0</v>
      </c>
      <c r="E33" s="255"/>
      <c r="F33" s="9">
        <f t="shared" si="4"/>
        <v>0</v>
      </c>
      <c r="G33" s="265">
        <v>0</v>
      </c>
      <c r="H33" s="9">
        <f t="shared" si="5"/>
        <v>0</v>
      </c>
    </row>
    <row r="34" spans="1:8">
      <c r="A34" s="283"/>
      <c r="B34" s="254"/>
      <c r="C34" s="264">
        <v>0</v>
      </c>
      <c r="D34" s="9">
        <f>C$32*C34</f>
        <v>0</v>
      </c>
      <c r="E34" s="255"/>
      <c r="F34" s="9">
        <f t="shared" si="4"/>
        <v>0</v>
      </c>
      <c r="G34" s="265">
        <v>0</v>
      </c>
      <c r="H34" s="9">
        <f t="shared" si="5"/>
        <v>0</v>
      </c>
    </row>
    <row r="35" spans="1:8">
      <c r="A35" s="283"/>
      <c r="B35" s="254"/>
      <c r="C35" s="264">
        <v>0</v>
      </c>
      <c r="D35" s="9">
        <f>C$32*C35</f>
        <v>0</v>
      </c>
      <c r="E35" s="255"/>
      <c r="F35" s="9">
        <f t="shared" si="4"/>
        <v>0</v>
      </c>
      <c r="G35" s="265">
        <v>0</v>
      </c>
      <c r="H35" s="9">
        <f t="shared" si="5"/>
        <v>0</v>
      </c>
    </row>
    <row r="36" spans="1:8">
      <c r="A36" s="284"/>
      <c r="B36" s="254"/>
      <c r="C36" s="264">
        <v>0</v>
      </c>
      <c r="D36" s="9">
        <f>C$32*C36</f>
        <v>0</v>
      </c>
      <c r="E36" s="255"/>
      <c r="F36" s="9">
        <f t="shared" si="4"/>
        <v>0</v>
      </c>
      <c r="G36" s="265">
        <v>0</v>
      </c>
      <c r="H36" s="9">
        <f t="shared" si="5"/>
        <v>0</v>
      </c>
    </row>
    <row r="37" spans="1:8">
      <c r="A37" s="437" t="s">
        <v>504</v>
      </c>
      <c r="B37" s="254" t="s">
        <v>490</v>
      </c>
      <c r="C37" s="264">
        <v>0.5</v>
      </c>
      <c r="D37" s="9">
        <f t="shared" si="3"/>
        <v>0</v>
      </c>
      <c r="E37" s="255">
        <v>6</v>
      </c>
      <c r="F37" s="9">
        <f t="shared" si="4"/>
        <v>0</v>
      </c>
      <c r="G37" s="265">
        <v>0.05</v>
      </c>
      <c r="H37" s="9">
        <f t="shared" si="5"/>
        <v>0</v>
      </c>
    </row>
    <row r="38" spans="1:8">
      <c r="A38" s="437"/>
      <c r="B38" s="254" t="s">
        <v>491</v>
      </c>
      <c r="C38" s="264">
        <v>0</v>
      </c>
      <c r="D38" s="9">
        <f t="shared" si="3"/>
        <v>0</v>
      </c>
      <c r="E38" s="255"/>
      <c r="F38" s="9">
        <f t="shared" si="4"/>
        <v>0</v>
      </c>
      <c r="G38" s="265">
        <v>0</v>
      </c>
      <c r="H38" s="9">
        <f t="shared" si="5"/>
        <v>0</v>
      </c>
    </row>
    <row r="39" spans="1:8">
      <c r="A39" s="437"/>
      <c r="B39" s="254" t="s">
        <v>492</v>
      </c>
      <c r="C39" s="264">
        <v>0</v>
      </c>
      <c r="D39" s="9">
        <f t="shared" si="3"/>
        <v>0</v>
      </c>
      <c r="E39" s="255"/>
      <c r="F39" s="9">
        <f t="shared" si="4"/>
        <v>0</v>
      </c>
      <c r="G39" s="265">
        <v>0</v>
      </c>
      <c r="H39" s="9">
        <f t="shared" si="5"/>
        <v>0</v>
      </c>
    </row>
    <row r="40" spans="1:8">
      <c r="A40" s="437"/>
      <c r="B40" s="254" t="s">
        <v>493</v>
      </c>
      <c r="C40" s="264">
        <v>0</v>
      </c>
      <c r="D40" s="9">
        <f t="shared" si="3"/>
        <v>0</v>
      </c>
      <c r="E40" s="255"/>
      <c r="F40" s="9">
        <f t="shared" si="4"/>
        <v>0</v>
      </c>
      <c r="G40" s="265">
        <v>0</v>
      </c>
      <c r="H40" s="9">
        <f t="shared" si="5"/>
        <v>0</v>
      </c>
    </row>
    <row r="41" spans="1:8">
      <c r="A41" s="420" t="s">
        <v>402</v>
      </c>
      <c r="B41" s="420"/>
      <c r="C41" s="420"/>
      <c r="D41" s="420"/>
      <c r="E41" s="420"/>
      <c r="F41" s="420"/>
      <c r="G41" s="420"/>
      <c r="H41" s="420"/>
    </row>
    <row r="43" spans="1:8" ht="18.75">
      <c r="A43" s="424" t="s">
        <v>580</v>
      </c>
      <c r="B43" s="425"/>
      <c r="C43" s="425"/>
      <c r="D43" s="425"/>
      <c r="E43" s="425"/>
      <c r="F43" s="425"/>
      <c r="G43" s="425"/>
      <c r="H43" s="426"/>
    </row>
    <row r="44" spans="1:8">
      <c r="A44" s="427" t="s">
        <v>0</v>
      </c>
      <c r="B44" s="275">
        <v>0.35</v>
      </c>
      <c r="C44" s="275">
        <f>B44+0.05</f>
        <v>0.39999999999999997</v>
      </c>
      <c r="D44" s="275">
        <f t="shared" ref="D44:G44" si="7">C44+0.05</f>
        <v>0.44999999999999996</v>
      </c>
      <c r="E44" s="275">
        <f t="shared" si="7"/>
        <v>0.49999999999999994</v>
      </c>
      <c r="F44" s="275">
        <f t="shared" si="7"/>
        <v>0.54999999999999993</v>
      </c>
      <c r="G44" s="275">
        <f t="shared" si="7"/>
        <v>0.6</v>
      </c>
      <c r="H44" s="275">
        <f>G44+0.05</f>
        <v>0.65</v>
      </c>
    </row>
    <row r="45" spans="1:8">
      <c r="A45" s="428"/>
      <c r="B45" s="269" t="s">
        <v>2</v>
      </c>
      <c r="C45" s="269" t="s">
        <v>3</v>
      </c>
      <c r="D45" s="269" t="s">
        <v>4</v>
      </c>
      <c r="E45" s="269" t="s">
        <v>5</v>
      </c>
      <c r="F45" s="269" t="s">
        <v>6</v>
      </c>
      <c r="G45" s="269" t="s">
        <v>168</v>
      </c>
      <c r="H45" s="269" t="s">
        <v>167</v>
      </c>
    </row>
    <row r="46" spans="1:8">
      <c r="A46" s="9" t="str">
        <f t="shared" ref="A46:A54" si="8">B14</f>
        <v>Onion</v>
      </c>
      <c r="B46" s="9">
        <f t="shared" ref="B46:B54" si="9">H14*$B$44</f>
        <v>0</v>
      </c>
      <c r="C46" s="9">
        <f t="shared" ref="C46:H61" si="10">(B46/B$44)*C$44</f>
        <v>0</v>
      </c>
      <c r="D46" s="9">
        <f t="shared" si="10"/>
        <v>0</v>
      </c>
      <c r="E46" s="9">
        <f t="shared" si="10"/>
        <v>0</v>
      </c>
      <c r="F46" s="9">
        <f t="shared" si="10"/>
        <v>0</v>
      </c>
      <c r="G46" s="9">
        <f t="shared" si="10"/>
        <v>0</v>
      </c>
      <c r="H46" s="9">
        <f t="shared" si="10"/>
        <v>0</v>
      </c>
    </row>
    <row r="47" spans="1:8">
      <c r="A47" s="9" t="str">
        <f t="shared" si="8"/>
        <v>Tomato</v>
      </c>
      <c r="B47" s="9">
        <f t="shared" si="9"/>
        <v>0</v>
      </c>
      <c r="C47" s="9">
        <f t="shared" si="10"/>
        <v>0</v>
      </c>
      <c r="D47" s="9">
        <f t="shared" si="10"/>
        <v>0</v>
      </c>
      <c r="E47" s="9">
        <f t="shared" si="10"/>
        <v>0</v>
      </c>
      <c r="F47" s="9">
        <f t="shared" si="10"/>
        <v>0</v>
      </c>
      <c r="G47" s="9">
        <f t="shared" si="10"/>
        <v>0</v>
      </c>
      <c r="H47" s="9">
        <f t="shared" si="10"/>
        <v>0</v>
      </c>
    </row>
    <row r="48" spans="1:8">
      <c r="A48" s="9" t="str">
        <f t="shared" si="8"/>
        <v>Okra</v>
      </c>
      <c r="B48" s="9">
        <f t="shared" si="9"/>
        <v>0</v>
      </c>
      <c r="C48" s="9">
        <f t="shared" si="10"/>
        <v>0</v>
      </c>
      <c r="D48" s="9">
        <f t="shared" si="10"/>
        <v>0</v>
      </c>
      <c r="E48" s="9">
        <f t="shared" si="10"/>
        <v>0</v>
      </c>
      <c r="F48" s="9">
        <f t="shared" si="10"/>
        <v>0</v>
      </c>
      <c r="G48" s="9">
        <f t="shared" si="10"/>
        <v>0</v>
      </c>
      <c r="H48" s="9">
        <f t="shared" si="10"/>
        <v>0</v>
      </c>
    </row>
    <row r="49" spans="1:8">
      <c r="A49" s="9" t="str">
        <f t="shared" si="8"/>
        <v>Chilli</v>
      </c>
      <c r="B49" s="9">
        <f t="shared" si="9"/>
        <v>0</v>
      </c>
      <c r="C49" s="9">
        <f t="shared" si="10"/>
        <v>0</v>
      </c>
      <c r="D49" s="9">
        <f t="shared" si="10"/>
        <v>0</v>
      </c>
      <c r="E49" s="9">
        <f t="shared" si="10"/>
        <v>0</v>
      </c>
      <c r="F49" s="9">
        <f t="shared" si="10"/>
        <v>0</v>
      </c>
      <c r="G49" s="9">
        <f t="shared" si="10"/>
        <v>0</v>
      </c>
      <c r="H49" s="9">
        <f t="shared" si="10"/>
        <v>0</v>
      </c>
    </row>
    <row r="50" spans="1:8">
      <c r="A50" s="9" t="str">
        <f t="shared" si="8"/>
        <v>Potato</v>
      </c>
      <c r="B50" s="9">
        <f t="shared" si="9"/>
        <v>0</v>
      </c>
      <c r="C50" s="9">
        <f t="shared" si="10"/>
        <v>0</v>
      </c>
      <c r="D50" s="9">
        <f t="shared" si="10"/>
        <v>0</v>
      </c>
      <c r="E50" s="9">
        <f t="shared" si="10"/>
        <v>0</v>
      </c>
      <c r="F50" s="9">
        <f t="shared" si="10"/>
        <v>0</v>
      </c>
      <c r="G50" s="9">
        <f t="shared" si="10"/>
        <v>0</v>
      </c>
      <c r="H50" s="9">
        <f t="shared" si="10"/>
        <v>0</v>
      </c>
    </row>
    <row r="51" spans="1:8">
      <c r="A51" s="9">
        <f t="shared" si="8"/>
        <v>0</v>
      </c>
      <c r="B51" s="9">
        <f t="shared" si="9"/>
        <v>0</v>
      </c>
      <c r="C51" s="9">
        <f t="shared" si="10"/>
        <v>0</v>
      </c>
      <c r="D51" s="9">
        <f t="shared" si="10"/>
        <v>0</v>
      </c>
      <c r="E51" s="9">
        <f t="shared" si="10"/>
        <v>0</v>
      </c>
      <c r="F51" s="9">
        <f t="shared" si="10"/>
        <v>0</v>
      </c>
      <c r="G51" s="9">
        <f t="shared" si="10"/>
        <v>0</v>
      </c>
      <c r="H51" s="9">
        <f t="shared" si="10"/>
        <v>0</v>
      </c>
    </row>
    <row r="52" spans="1:8">
      <c r="A52" s="9">
        <f t="shared" si="8"/>
        <v>0</v>
      </c>
      <c r="B52" s="9">
        <f t="shared" si="9"/>
        <v>0</v>
      </c>
      <c r="C52" s="9">
        <f t="shared" si="10"/>
        <v>0</v>
      </c>
      <c r="D52" s="9">
        <f t="shared" si="10"/>
        <v>0</v>
      </c>
      <c r="E52" s="9">
        <f t="shared" si="10"/>
        <v>0</v>
      </c>
      <c r="F52" s="9">
        <f t="shared" si="10"/>
        <v>0</v>
      </c>
      <c r="G52" s="9">
        <f t="shared" si="10"/>
        <v>0</v>
      </c>
      <c r="H52" s="9">
        <f t="shared" si="10"/>
        <v>0</v>
      </c>
    </row>
    <row r="53" spans="1:8">
      <c r="A53" s="9">
        <f t="shared" si="8"/>
        <v>0</v>
      </c>
      <c r="B53" s="9">
        <f t="shared" si="9"/>
        <v>0</v>
      </c>
      <c r="C53" s="9">
        <f t="shared" si="10"/>
        <v>0</v>
      </c>
      <c r="D53" s="9">
        <f t="shared" si="10"/>
        <v>0</v>
      </c>
      <c r="E53" s="9">
        <f t="shared" si="10"/>
        <v>0</v>
      </c>
      <c r="F53" s="9">
        <f t="shared" si="10"/>
        <v>0</v>
      </c>
      <c r="G53" s="9">
        <f t="shared" si="10"/>
        <v>0</v>
      </c>
      <c r="H53" s="9">
        <f t="shared" si="10"/>
        <v>0</v>
      </c>
    </row>
    <row r="54" spans="1:8">
      <c r="A54" s="9">
        <f t="shared" si="8"/>
        <v>0</v>
      </c>
      <c r="B54" s="9">
        <f t="shared" si="9"/>
        <v>0</v>
      </c>
      <c r="C54" s="9">
        <f t="shared" si="10"/>
        <v>0</v>
      </c>
      <c r="D54" s="9">
        <f t="shared" si="10"/>
        <v>0</v>
      </c>
      <c r="E54" s="9">
        <f t="shared" si="10"/>
        <v>0</v>
      </c>
      <c r="F54" s="9">
        <f t="shared" si="10"/>
        <v>0</v>
      </c>
      <c r="G54" s="9">
        <f t="shared" si="10"/>
        <v>0</v>
      </c>
      <c r="H54" s="9">
        <f t="shared" si="10"/>
        <v>0</v>
      </c>
    </row>
    <row r="55" spans="1:8">
      <c r="A55" s="9" t="str">
        <f t="shared" ref="A55:A62" si="11">B24</f>
        <v>Onion</v>
      </c>
      <c r="B55" s="9">
        <f t="shared" ref="B55:B61" si="12">H24*$B$44</f>
        <v>0</v>
      </c>
      <c r="C55" s="9">
        <f t="shared" si="10"/>
        <v>0</v>
      </c>
      <c r="D55" s="9">
        <f t="shared" si="10"/>
        <v>0</v>
      </c>
      <c r="E55" s="9">
        <f t="shared" si="10"/>
        <v>0</v>
      </c>
      <c r="F55" s="9">
        <f t="shared" si="10"/>
        <v>0</v>
      </c>
      <c r="G55" s="9">
        <f t="shared" si="10"/>
        <v>0</v>
      </c>
      <c r="H55" s="9">
        <f t="shared" si="10"/>
        <v>0</v>
      </c>
    </row>
    <row r="56" spans="1:8">
      <c r="A56" s="9" t="str">
        <f t="shared" si="11"/>
        <v>Tomato</v>
      </c>
      <c r="B56" s="9">
        <f t="shared" si="12"/>
        <v>0</v>
      </c>
      <c r="C56" s="9">
        <f t="shared" si="10"/>
        <v>0</v>
      </c>
      <c r="D56" s="9">
        <f t="shared" si="10"/>
        <v>0</v>
      </c>
      <c r="E56" s="9">
        <f t="shared" si="10"/>
        <v>0</v>
      </c>
      <c r="F56" s="9">
        <f t="shared" si="10"/>
        <v>0</v>
      </c>
      <c r="G56" s="9">
        <f t="shared" si="10"/>
        <v>0</v>
      </c>
      <c r="H56" s="9">
        <f t="shared" si="10"/>
        <v>0</v>
      </c>
    </row>
    <row r="57" spans="1:8">
      <c r="A57" s="9" t="str">
        <f t="shared" si="11"/>
        <v>Okra</v>
      </c>
      <c r="B57" s="9">
        <f t="shared" si="12"/>
        <v>0</v>
      </c>
      <c r="C57" s="9">
        <f t="shared" si="10"/>
        <v>0</v>
      </c>
      <c r="D57" s="9">
        <f t="shared" si="10"/>
        <v>0</v>
      </c>
      <c r="E57" s="9">
        <f t="shared" si="10"/>
        <v>0</v>
      </c>
      <c r="F57" s="9">
        <f t="shared" si="10"/>
        <v>0</v>
      </c>
      <c r="G57" s="9">
        <f t="shared" si="10"/>
        <v>0</v>
      </c>
      <c r="H57" s="9">
        <f t="shared" si="10"/>
        <v>0</v>
      </c>
    </row>
    <row r="58" spans="1:8">
      <c r="A58" s="9" t="str">
        <f t="shared" si="11"/>
        <v>Chilli</v>
      </c>
      <c r="B58" s="9">
        <f t="shared" si="12"/>
        <v>0</v>
      </c>
      <c r="C58" s="9">
        <f t="shared" si="10"/>
        <v>0</v>
      </c>
      <c r="D58" s="9">
        <f t="shared" si="10"/>
        <v>0</v>
      </c>
      <c r="E58" s="9">
        <f t="shared" si="10"/>
        <v>0</v>
      </c>
      <c r="F58" s="9">
        <f t="shared" si="10"/>
        <v>0</v>
      </c>
      <c r="G58" s="9">
        <f t="shared" si="10"/>
        <v>0</v>
      </c>
      <c r="H58" s="9">
        <f t="shared" si="10"/>
        <v>0</v>
      </c>
    </row>
    <row r="59" spans="1:8">
      <c r="A59" s="9" t="str">
        <f t="shared" si="11"/>
        <v>Brinjal</v>
      </c>
      <c r="B59" s="9">
        <f t="shared" si="12"/>
        <v>0</v>
      </c>
      <c r="C59" s="9">
        <f t="shared" si="10"/>
        <v>0</v>
      </c>
      <c r="D59" s="9">
        <f t="shared" si="10"/>
        <v>0</v>
      </c>
      <c r="E59" s="9">
        <f t="shared" si="10"/>
        <v>0</v>
      </c>
      <c r="F59" s="9">
        <f t="shared" si="10"/>
        <v>0</v>
      </c>
      <c r="G59" s="9">
        <f t="shared" si="10"/>
        <v>0</v>
      </c>
      <c r="H59" s="9">
        <f t="shared" si="10"/>
        <v>0</v>
      </c>
    </row>
    <row r="60" spans="1:8">
      <c r="A60" s="9">
        <f t="shared" si="11"/>
        <v>0</v>
      </c>
      <c r="B60" s="9">
        <f t="shared" si="12"/>
        <v>0</v>
      </c>
      <c r="C60" s="9">
        <f t="shared" si="10"/>
        <v>0</v>
      </c>
      <c r="D60" s="9">
        <f t="shared" si="10"/>
        <v>0</v>
      </c>
      <c r="E60" s="9">
        <f t="shared" si="10"/>
        <v>0</v>
      </c>
      <c r="F60" s="9">
        <f t="shared" si="10"/>
        <v>0</v>
      </c>
      <c r="G60" s="9">
        <f t="shared" si="10"/>
        <v>0</v>
      </c>
      <c r="H60" s="9">
        <f t="shared" si="10"/>
        <v>0</v>
      </c>
    </row>
    <row r="61" spans="1:8">
      <c r="A61" s="9">
        <f t="shared" si="11"/>
        <v>0</v>
      </c>
      <c r="B61" s="9">
        <f t="shared" si="12"/>
        <v>0</v>
      </c>
      <c r="C61" s="9">
        <f t="shared" si="10"/>
        <v>0</v>
      </c>
      <c r="D61" s="9">
        <f t="shared" si="10"/>
        <v>0</v>
      </c>
      <c r="E61" s="9">
        <f t="shared" si="10"/>
        <v>0</v>
      </c>
      <c r="F61" s="9">
        <f t="shared" si="10"/>
        <v>0</v>
      </c>
      <c r="G61" s="9">
        <f t="shared" si="10"/>
        <v>0</v>
      </c>
      <c r="H61" s="9">
        <f t="shared" si="10"/>
        <v>0</v>
      </c>
    </row>
    <row r="62" spans="1:8">
      <c r="A62" s="9">
        <f t="shared" si="11"/>
        <v>0</v>
      </c>
      <c r="B62" s="9">
        <f t="shared" ref="B62" si="13">H31*$B$44</f>
        <v>0</v>
      </c>
      <c r="C62" s="9">
        <f t="shared" ref="C62:H70" si="14">(B62/B$44)*C$44</f>
        <v>0</v>
      </c>
      <c r="D62" s="9">
        <f t="shared" si="14"/>
        <v>0</v>
      </c>
      <c r="E62" s="9">
        <f t="shared" si="14"/>
        <v>0</v>
      </c>
      <c r="F62" s="9">
        <f t="shared" si="14"/>
        <v>0</v>
      </c>
      <c r="G62" s="9">
        <f t="shared" si="14"/>
        <v>0</v>
      </c>
      <c r="H62" s="9">
        <f t="shared" si="14"/>
        <v>0</v>
      </c>
    </row>
    <row r="63" spans="1:8">
      <c r="A63" s="9">
        <f t="shared" ref="A63:A66" si="15">B33</f>
        <v>0</v>
      </c>
      <c r="B63" s="9">
        <f t="shared" ref="B63:B70" si="16">H33*$B$44</f>
        <v>0</v>
      </c>
      <c r="C63" s="9">
        <f t="shared" si="14"/>
        <v>0</v>
      </c>
      <c r="D63" s="9">
        <f t="shared" ref="D63:D66" si="17">(C63/C$44)*D$44</f>
        <v>0</v>
      </c>
      <c r="E63" s="9">
        <f t="shared" ref="E63:E66" si="18">(D63/D$44)*E$44</f>
        <v>0</v>
      </c>
      <c r="F63" s="9">
        <f t="shared" ref="F63:F66" si="19">(E63/E$44)*F$44</f>
        <v>0</v>
      </c>
      <c r="G63" s="9">
        <f t="shared" ref="G63:G66" si="20">(F63/F$44)*G$44</f>
        <v>0</v>
      </c>
      <c r="H63" s="9">
        <f t="shared" ref="H63:H66" si="21">(G63/G$44)*H$44</f>
        <v>0</v>
      </c>
    </row>
    <row r="64" spans="1:8">
      <c r="A64" s="9">
        <f t="shared" si="15"/>
        <v>0</v>
      </c>
      <c r="B64" s="9">
        <f t="shared" si="16"/>
        <v>0</v>
      </c>
      <c r="C64" s="9">
        <f t="shared" si="14"/>
        <v>0</v>
      </c>
      <c r="D64" s="9">
        <f t="shared" si="17"/>
        <v>0</v>
      </c>
      <c r="E64" s="9">
        <f t="shared" si="18"/>
        <v>0</v>
      </c>
      <c r="F64" s="9">
        <f t="shared" si="19"/>
        <v>0</v>
      </c>
      <c r="G64" s="9">
        <f t="shared" si="20"/>
        <v>0</v>
      </c>
      <c r="H64" s="9">
        <f t="shared" si="21"/>
        <v>0</v>
      </c>
    </row>
    <row r="65" spans="1:8">
      <c r="A65" s="9">
        <f t="shared" si="15"/>
        <v>0</v>
      </c>
      <c r="B65" s="9">
        <f t="shared" si="16"/>
        <v>0</v>
      </c>
      <c r="C65" s="9">
        <f t="shared" si="14"/>
        <v>0</v>
      </c>
      <c r="D65" s="9">
        <f t="shared" si="17"/>
        <v>0</v>
      </c>
      <c r="E65" s="9">
        <f t="shared" si="18"/>
        <v>0</v>
      </c>
      <c r="F65" s="9">
        <f t="shared" si="19"/>
        <v>0</v>
      </c>
      <c r="G65" s="9">
        <f t="shared" si="20"/>
        <v>0</v>
      </c>
      <c r="H65" s="9">
        <f t="shared" si="21"/>
        <v>0</v>
      </c>
    </row>
    <row r="66" spans="1:8">
      <c r="A66" s="9">
        <f t="shared" si="15"/>
        <v>0</v>
      </c>
      <c r="B66" s="9">
        <f t="shared" si="16"/>
        <v>0</v>
      </c>
      <c r="C66" s="9">
        <f t="shared" si="14"/>
        <v>0</v>
      </c>
      <c r="D66" s="9">
        <f t="shared" si="17"/>
        <v>0</v>
      </c>
      <c r="E66" s="9">
        <f t="shared" si="18"/>
        <v>0</v>
      </c>
      <c r="F66" s="9">
        <f t="shared" si="19"/>
        <v>0</v>
      </c>
      <c r="G66" s="9">
        <f t="shared" si="20"/>
        <v>0</v>
      </c>
      <c r="H66" s="9">
        <f t="shared" si="21"/>
        <v>0</v>
      </c>
    </row>
    <row r="67" spans="1:8">
      <c r="A67" s="9" t="str">
        <f>B37</f>
        <v>Pomegranate</v>
      </c>
      <c r="B67" s="9">
        <f t="shared" si="16"/>
        <v>0</v>
      </c>
      <c r="C67" s="9">
        <f t="shared" si="14"/>
        <v>0</v>
      </c>
      <c r="D67" s="9">
        <f t="shared" si="14"/>
        <v>0</v>
      </c>
      <c r="E67" s="9">
        <f t="shared" si="14"/>
        <v>0</v>
      </c>
      <c r="F67" s="9">
        <f t="shared" si="14"/>
        <v>0</v>
      </c>
      <c r="G67" s="9">
        <f t="shared" si="14"/>
        <v>0</v>
      </c>
      <c r="H67" s="9">
        <f t="shared" si="14"/>
        <v>0</v>
      </c>
    </row>
    <row r="68" spans="1:8">
      <c r="A68" s="9" t="str">
        <f t="shared" ref="A68:A70" si="22">B38</f>
        <v>Custard Apple</v>
      </c>
      <c r="B68" s="9">
        <f t="shared" si="16"/>
        <v>0</v>
      </c>
      <c r="C68" s="9">
        <f t="shared" si="14"/>
        <v>0</v>
      </c>
      <c r="D68" s="9">
        <f t="shared" si="14"/>
        <v>0</v>
      </c>
      <c r="E68" s="9">
        <f t="shared" si="14"/>
        <v>0</v>
      </c>
      <c r="F68" s="9">
        <f t="shared" si="14"/>
        <v>0</v>
      </c>
      <c r="G68" s="9">
        <f t="shared" si="14"/>
        <v>0</v>
      </c>
      <c r="H68" s="9">
        <f t="shared" si="14"/>
        <v>0</v>
      </c>
    </row>
    <row r="69" spans="1:8">
      <c r="A69" s="9" t="str">
        <f t="shared" si="22"/>
        <v>Guava</v>
      </c>
      <c r="B69" s="9">
        <f t="shared" si="16"/>
        <v>0</v>
      </c>
      <c r="C69" s="9">
        <f t="shared" si="14"/>
        <v>0</v>
      </c>
      <c r="D69" s="9">
        <f t="shared" si="14"/>
        <v>0</v>
      </c>
      <c r="E69" s="9">
        <f t="shared" si="14"/>
        <v>0</v>
      </c>
      <c r="F69" s="9">
        <f t="shared" si="14"/>
        <v>0</v>
      </c>
      <c r="G69" s="9">
        <f t="shared" si="14"/>
        <v>0</v>
      </c>
      <c r="H69" s="9">
        <f t="shared" si="14"/>
        <v>0</v>
      </c>
    </row>
    <row r="70" spans="1:8">
      <c r="A70" s="9" t="str">
        <f t="shared" si="22"/>
        <v>Citrus</v>
      </c>
      <c r="B70" s="9">
        <f t="shared" si="16"/>
        <v>0</v>
      </c>
      <c r="C70" s="9">
        <f t="shared" si="14"/>
        <v>0</v>
      </c>
      <c r="D70" s="9">
        <f t="shared" si="14"/>
        <v>0</v>
      </c>
      <c r="E70" s="9">
        <f t="shared" ref="E70" si="23">(D70/D$44)*E$44</f>
        <v>0</v>
      </c>
      <c r="F70" s="9">
        <f t="shared" ref="F70" si="24">(E70/E$44)*F$44</f>
        <v>0</v>
      </c>
      <c r="G70" s="9">
        <f t="shared" ref="G70:H70" si="25">(F70/F$44)*G$44</f>
        <v>0</v>
      </c>
      <c r="H70" s="9">
        <f t="shared" si="25"/>
        <v>0</v>
      </c>
    </row>
    <row r="71" spans="1:8" ht="18.75">
      <c r="A71" s="429" t="s">
        <v>581</v>
      </c>
      <c r="B71" s="430"/>
      <c r="C71" s="430"/>
      <c r="D71" s="430"/>
      <c r="E71" s="430"/>
      <c r="F71" s="430"/>
      <c r="G71" s="430"/>
      <c r="H71" s="431"/>
    </row>
    <row r="72" spans="1:8">
      <c r="A72" s="432" t="s">
        <v>0</v>
      </c>
      <c r="B72" s="276">
        <v>0.05</v>
      </c>
      <c r="C72" s="276">
        <f>B72+0.05</f>
        <v>0.1</v>
      </c>
      <c r="D72" s="276">
        <f t="shared" ref="D72:G72" si="26">C72+0.05</f>
        <v>0.15000000000000002</v>
      </c>
      <c r="E72" s="276">
        <f t="shared" si="26"/>
        <v>0.2</v>
      </c>
      <c r="F72" s="276">
        <f t="shared" si="26"/>
        <v>0.25</v>
      </c>
      <c r="G72" s="276">
        <f t="shared" si="26"/>
        <v>0.3</v>
      </c>
      <c r="H72" s="276">
        <f>G72+0.05</f>
        <v>0.35</v>
      </c>
    </row>
    <row r="73" spans="1:8">
      <c r="A73" s="433"/>
      <c r="B73" s="269" t="s">
        <v>2</v>
      </c>
      <c r="C73" s="269" t="s">
        <v>3</v>
      </c>
      <c r="D73" s="269" t="s">
        <v>4</v>
      </c>
      <c r="E73" s="269" t="s">
        <v>5</v>
      </c>
      <c r="F73" s="269" t="s">
        <v>6</v>
      </c>
      <c r="G73" s="269" t="s">
        <v>168</v>
      </c>
      <c r="H73" s="269" t="s">
        <v>167</v>
      </c>
    </row>
    <row r="74" spans="1:8">
      <c r="A74" s="9" t="str">
        <f t="shared" ref="A74:A98" si="27">A46</f>
        <v>Onion</v>
      </c>
      <c r="B74" s="9">
        <f t="shared" ref="B74:H74" si="28">H14*$B$72</f>
        <v>0</v>
      </c>
      <c r="C74" s="9">
        <f t="shared" si="28"/>
        <v>0</v>
      </c>
      <c r="D74" s="9">
        <f t="shared" si="28"/>
        <v>0</v>
      </c>
      <c r="E74" s="9">
        <f t="shared" si="28"/>
        <v>0</v>
      </c>
      <c r="F74" s="9">
        <f t="shared" si="28"/>
        <v>0</v>
      </c>
      <c r="G74" s="9">
        <f t="shared" si="28"/>
        <v>0</v>
      </c>
      <c r="H74" s="9">
        <f t="shared" si="28"/>
        <v>0</v>
      </c>
    </row>
    <row r="75" spans="1:8">
      <c r="A75" s="9" t="str">
        <f t="shared" si="27"/>
        <v>Tomato</v>
      </c>
      <c r="B75" s="9">
        <f>H15*$B$72</f>
        <v>0</v>
      </c>
      <c r="C75" s="9">
        <f>(B75/B72)*C72</f>
        <v>0</v>
      </c>
      <c r="D75" s="9">
        <f t="shared" ref="D75:G75" si="29">(C75/C72)*D72</f>
        <v>0</v>
      </c>
      <c r="E75" s="9">
        <f t="shared" si="29"/>
        <v>0</v>
      </c>
      <c r="F75" s="9">
        <f t="shared" si="29"/>
        <v>0</v>
      </c>
      <c r="G75" s="9">
        <f t="shared" si="29"/>
        <v>0</v>
      </c>
      <c r="H75" s="9">
        <f>(G75/G72)*H72</f>
        <v>0</v>
      </c>
    </row>
    <row r="76" spans="1:8">
      <c r="A76" s="9" t="str">
        <f t="shared" si="27"/>
        <v>Okra</v>
      </c>
      <c r="B76" s="9">
        <f t="shared" ref="B76:B82" si="30">H16*$B$72</f>
        <v>0</v>
      </c>
      <c r="C76" s="9">
        <f>(B76/B72)*C72</f>
        <v>0</v>
      </c>
      <c r="D76" s="9">
        <f>(C76/C72)*D72</f>
        <v>0</v>
      </c>
      <c r="E76" s="9">
        <f t="shared" ref="E76:G76" si="31">(D76/D72)*E72</f>
        <v>0</v>
      </c>
      <c r="F76" s="9">
        <f t="shared" si="31"/>
        <v>0</v>
      </c>
      <c r="G76" s="9">
        <f t="shared" si="31"/>
        <v>0</v>
      </c>
      <c r="H76" s="9">
        <f>(G76/G72)*H72</f>
        <v>0</v>
      </c>
    </row>
    <row r="77" spans="1:8">
      <c r="A77" s="9" t="str">
        <f t="shared" si="27"/>
        <v>Chilli</v>
      </c>
      <c r="B77" s="9">
        <f>H17*$B$72</f>
        <v>0</v>
      </c>
      <c r="C77" s="9">
        <f t="shared" ref="C77:H95" si="32">(B77/B$72)*C$72</f>
        <v>0</v>
      </c>
      <c r="D77" s="9">
        <f t="shared" si="32"/>
        <v>0</v>
      </c>
      <c r="E77" s="9">
        <f t="shared" si="32"/>
        <v>0</v>
      </c>
      <c r="F77" s="9">
        <f t="shared" si="32"/>
        <v>0</v>
      </c>
      <c r="G77" s="9">
        <f t="shared" si="32"/>
        <v>0</v>
      </c>
      <c r="H77" s="9">
        <f t="shared" si="32"/>
        <v>0</v>
      </c>
    </row>
    <row r="78" spans="1:8">
      <c r="A78" s="9" t="str">
        <f t="shared" si="27"/>
        <v>Potato</v>
      </c>
      <c r="B78" s="9">
        <f t="shared" si="30"/>
        <v>0</v>
      </c>
      <c r="C78" s="9">
        <f t="shared" si="32"/>
        <v>0</v>
      </c>
      <c r="D78" s="9">
        <f t="shared" si="32"/>
        <v>0</v>
      </c>
      <c r="E78" s="9">
        <f t="shared" si="32"/>
        <v>0</v>
      </c>
      <c r="F78" s="9">
        <f t="shared" si="32"/>
        <v>0</v>
      </c>
      <c r="G78" s="9">
        <f t="shared" si="32"/>
        <v>0</v>
      </c>
      <c r="H78" s="9">
        <f t="shared" si="32"/>
        <v>0</v>
      </c>
    </row>
    <row r="79" spans="1:8">
      <c r="A79" s="9">
        <f t="shared" si="27"/>
        <v>0</v>
      </c>
      <c r="B79" s="9">
        <f>H19*$B$72</f>
        <v>0</v>
      </c>
      <c r="C79" s="9">
        <f t="shared" si="32"/>
        <v>0</v>
      </c>
      <c r="D79" s="9">
        <f t="shared" si="32"/>
        <v>0</v>
      </c>
      <c r="E79" s="9">
        <f t="shared" si="32"/>
        <v>0</v>
      </c>
      <c r="F79" s="9">
        <f t="shared" si="32"/>
        <v>0</v>
      </c>
      <c r="G79" s="9">
        <f t="shared" si="32"/>
        <v>0</v>
      </c>
      <c r="H79" s="9">
        <f t="shared" si="32"/>
        <v>0</v>
      </c>
    </row>
    <row r="80" spans="1:8">
      <c r="A80" s="9">
        <f t="shared" si="27"/>
        <v>0</v>
      </c>
      <c r="B80" s="9">
        <f>H20*$B$72</f>
        <v>0</v>
      </c>
      <c r="C80" s="9">
        <f t="shared" si="32"/>
        <v>0</v>
      </c>
      <c r="D80" s="9">
        <f t="shared" si="32"/>
        <v>0</v>
      </c>
      <c r="E80" s="9">
        <f t="shared" si="32"/>
        <v>0</v>
      </c>
      <c r="F80" s="9">
        <f t="shared" si="32"/>
        <v>0</v>
      </c>
      <c r="G80" s="9">
        <f t="shared" si="32"/>
        <v>0</v>
      </c>
      <c r="H80" s="9">
        <f t="shared" si="32"/>
        <v>0</v>
      </c>
    </row>
    <row r="81" spans="1:8">
      <c r="A81" s="9">
        <f t="shared" si="27"/>
        <v>0</v>
      </c>
      <c r="B81" s="9">
        <f t="shared" si="30"/>
        <v>0</v>
      </c>
      <c r="C81" s="9">
        <f t="shared" si="32"/>
        <v>0</v>
      </c>
      <c r="D81" s="9">
        <f t="shared" si="32"/>
        <v>0</v>
      </c>
      <c r="E81" s="9">
        <f t="shared" si="32"/>
        <v>0</v>
      </c>
      <c r="F81" s="9">
        <f t="shared" si="32"/>
        <v>0</v>
      </c>
      <c r="G81" s="9">
        <f t="shared" si="32"/>
        <v>0</v>
      </c>
      <c r="H81" s="9">
        <f t="shared" si="32"/>
        <v>0</v>
      </c>
    </row>
    <row r="82" spans="1:8">
      <c r="A82" s="9">
        <f t="shared" si="27"/>
        <v>0</v>
      </c>
      <c r="B82" s="9">
        <f t="shared" si="30"/>
        <v>0</v>
      </c>
      <c r="C82" s="9">
        <f t="shared" si="32"/>
        <v>0</v>
      </c>
      <c r="D82" s="9">
        <f t="shared" si="32"/>
        <v>0</v>
      </c>
      <c r="E82" s="9">
        <f t="shared" si="32"/>
        <v>0</v>
      </c>
      <c r="F82" s="9">
        <f t="shared" si="32"/>
        <v>0</v>
      </c>
      <c r="G82" s="9">
        <f t="shared" si="32"/>
        <v>0</v>
      </c>
      <c r="H82" s="9">
        <f t="shared" si="32"/>
        <v>0</v>
      </c>
    </row>
    <row r="83" spans="1:8">
      <c r="A83" s="9" t="str">
        <f t="shared" si="27"/>
        <v>Onion</v>
      </c>
      <c r="B83" s="9">
        <f t="shared" ref="B83:B90" si="33">H24*$B$72</f>
        <v>0</v>
      </c>
      <c r="C83" s="9">
        <f t="shared" si="32"/>
        <v>0</v>
      </c>
      <c r="D83" s="9">
        <f t="shared" si="32"/>
        <v>0</v>
      </c>
      <c r="E83" s="9">
        <f t="shared" si="32"/>
        <v>0</v>
      </c>
      <c r="F83" s="9">
        <f t="shared" si="32"/>
        <v>0</v>
      </c>
      <c r="G83" s="9">
        <f t="shared" si="32"/>
        <v>0</v>
      </c>
      <c r="H83" s="9">
        <f t="shared" si="32"/>
        <v>0</v>
      </c>
    </row>
    <row r="84" spans="1:8">
      <c r="A84" s="9" t="str">
        <f t="shared" si="27"/>
        <v>Tomato</v>
      </c>
      <c r="B84" s="9">
        <f t="shared" si="33"/>
        <v>0</v>
      </c>
      <c r="C84" s="9">
        <f t="shared" si="32"/>
        <v>0</v>
      </c>
      <c r="D84" s="9">
        <f t="shared" si="32"/>
        <v>0</v>
      </c>
      <c r="E84" s="9">
        <f t="shared" si="32"/>
        <v>0</v>
      </c>
      <c r="F84" s="9">
        <f t="shared" si="32"/>
        <v>0</v>
      </c>
      <c r="G84" s="9">
        <f t="shared" si="32"/>
        <v>0</v>
      </c>
      <c r="H84" s="9">
        <f t="shared" si="32"/>
        <v>0</v>
      </c>
    </row>
    <row r="85" spans="1:8">
      <c r="A85" s="9" t="str">
        <f t="shared" si="27"/>
        <v>Okra</v>
      </c>
      <c r="B85" s="9">
        <f t="shared" si="33"/>
        <v>0</v>
      </c>
      <c r="C85" s="9">
        <f t="shared" si="32"/>
        <v>0</v>
      </c>
      <c r="D85" s="9">
        <f t="shared" si="32"/>
        <v>0</v>
      </c>
      <c r="E85" s="9">
        <f t="shared" si="32"/>
        <v>0</v>
      </c>
      <c r="F85" s="9">
        <f t="shared" si="32"/>
        <v>0</v>
      </c>
      <c r="G85" s="9">
        <f t="shared" si="32"/>
        <v>0</v>
      </c>
      <c r="H85" s="9">
        <f t="shared" si="32"/>
        <v>0</v>
      </c>
    </row>
    <row r="86" spans="1:8">
      <c r="A86" s="9" t="str">
        <f t="shared" si="27"/>
        <v>Chilli</v>
      </c>
      <c r="B86" s="9">
        <f t="shared" si="33"/>
        <v>0</v>
      </c>
      <c r="C86" s="9">
        <f t="shared" si="32"/>
        <v>0</v>
      </c>
      <c r="D86" s="9">
        <f t="shared" si="32"/>
        <v>0</v>
      </c>
      <c r="E86" s="9">
        <f t="shared" si="32"/>
        <v>0</v>
      </c>
      <c r="F86" s="9">
        <f t="shared" si="32"/>
        <v>0</v>
      </c>
      <c r="G86" s="9">
        <f t="shared" si="32"/>
        <v>0</v>
      </c>
      <c r="H86" s="9">
        <f t="shared" si="32"/>
        <v>0</v>
      </c>
    </row>
    <row r="87" spans="1:8">
      <c r="A87" s="9" t="str">
        <f t="shared" si="27"/>
        <v>Brinjal</v>
      </c>
      <c r="B87" s="9">
        <f t="shared" si="33"/>
        <v>0</v>
      </c>
      <c r="C87" s="9">
        <f t="shared" si="32"/>
        <v>0</v>
      </c>
      <c r="D87" s="9">
        <f t="shared" si="32"/>
        <v>0</v>
      </c>
      <c r="E87" s="9">
        <f t="shared" si="32"/>
        <v>0</v>
      </c>
      <c r="F87" s="9">
        <f t="shared" si="32"/>
        <v>0</v>
      </c>
      <c r="G87" s="9">
        <f t="shared" si="32"/>
        <v>0</v>
      </c>
      <c r="H87" s="9">
        <f t="shared" si="32"/>
        <v>0</v>
      </c>
    </row>
    <row r="88" spans="1:8">
      <c r="A88" s="9">
        <f t="shared" si="27"/>
        <v>0</v>
      </c>
      <c r="B88" s="9">
        <f t="shared" si="33"/>
        <v>0</v>
      </c>
      <c r="C88" s="9">
        <f t="shared" si="32"/>
        <v>0</v>
      </c>
      <c r="D88" s="9">
        <f t="shared" si="32"/>
        <v>0</v>
      </c>
      <c r="E88" s="9">
        <f t="shared" si="32"/>
        <v>0</v>
      </c>
      <c r="F88" s="9">
        <f t="shared" si="32"/>
        <v>0</v>
      </c>
      <c r="G88" s="9">
        <f t="shared" si="32"/>
        <v>0</v>
      </c>
      <c r="H88" s="9">
        <f t="shared" si="32"/>
        <v>0</v>
      </c>
    </row>
    <row r="89" spans="1:8">
      <c r="A89" s="9">
        <f t="shared" si="27"/>
        <v>0</v>
      </c>
      <c r="B89" s="9">
        <f t="shared" si="33"/>
        <v>0</v>
      </c>
      <c r="C89" s="9">
        <f t="shared" si="32"/>
        <v>0</v>
      </c>
      <c r="D89" s="9">
        <f t="shared" si="32"/>
        <v>0</v>
      </c>
      <c r="E89" s="9">
        <f t="shared" si="32"/>
        <v>0</v>
      </c>
      <c r="F89" s="9">
        <f t="shared" si="32"/>
        <v>0</v>
      </c>
      <c r="G89" s="9">
        <f t="shared" si="32"/>
        <v>0</v>
      </c>
      <c r="H89" s="9">
        <f t="shared" si="32"/>
        <v>0</v>
      </c>
    </row>
    <row r="90" spans="1:8">
      <c r="A90" s="9">
        <f t="shared" si="27"/>
        <v>0</v>
      </c>
      <c r="B90" s="9">
        <f t="shared" si="33"/>
        <v>0</v>
      </c>
      <c r="C90" s="9">
        <f t="shared" si="32"/>
        <v>0</v>
      </c>
      <c r="D90" s="9">
        <f t="shared" si="32"/>
        <v>0</v>
      </c>
      <c r="E90" s="9">
        <f t="shared" si="32"/>
        <v>0</v>
      </c>
      <c r="F90" s="9">
        <f t="shared" si="32"/>
        <v>0</v>
      </c>
      <c r="G90" s="9">
        <f t="shared" si="32"/>
        <v>0</v>
      </c>
      <c r="H90" s="9">
        <f t="shared" si="32"/>
        <v>0</v>
      </c>
    </row>
    <row r="91" spans="1:8">
      <c r="A91" s="9">
        <f t="shared" si="27"/>
        <v>0</v>
      </c>
      <c r="B91" s="9">
        <f t="shared" ref="B91:B98" si="34">H33*$B$72</f>
        <v>0</v>
      </c>
      <c r="C91" s="9">
        <f t="shared" si="32"/>
        <v>0</v>
      </c>
      <c r="D91" s="9">
        <f t="shared" ref="D91:D94" si="35">(C91/C$72)*D$72</f>
        <v>0</v>
      </c>
      <c r="E91" s="9">
        <f t="shared" ref="E91:E94" si="36">(D91/D$72)*E$72</f>
        <v>0</v>
      </c>
      <c r="F91" s="9">
        <f t="shared" ref="F91:F94" si="37">(E91/E$72)*F$72</f>
        <v>0</v>
      </c>
      <c r="G91" s="9">
        <f t="shared" ref="G91:G94" si="38">(F91/F$72)*G$72</f>
        <v>0</v>
      </c>
      <c r="H91" s="9">
        <f t="shared" si="32"/>
        <v>0</v>
      </c>
    </row>
    <row r="92" spans="1:8">
      <c r="A92" s="9">
        <f t="shared" si="27"/>
        <v>0</v>
      </c>
      <c r="B92" s="9">
        <f t="shared" si="34"/>
        <v>0</v>
      </c>
      <c r="C92" s="9">
        <f t="shared" si="32"/>
        <v>0</v>
      </c>
      <c r="D92" s="9">
        <f t="shared" si="35"/>
        <v>0</v>
      </c>
      <c r="E92" s="9">
        <f t="shared" si="36"/>
        <v>0</v>
      </c>
      <c r="F92" s="9">
        <f t="shared" si="37"/>
        <v>0</v>
      </c>
      <c r="G92" s="9">
        <f t="shared" si="38"/>
        <v>0</v>
      </c>
      <c r="H92" s="9"/>
    </row>
    <row r="93" spans="1:8">
      <c r="A93" s="9">
        <f t="shared" si="27"/>
        <v>0</v>
      </c>
      <c r="B93" s="9">
        <f t="shared" si="34"/>
        <v>0</v>
      </c>
      <c r="C93" s="9">
        <f t="shared" si="32"/>
        <v>0</v>
      </c>
      <c r="D93" s="9">
        <f t="shared" si="35"/>
        <v>0</v>
      </c>
      <c r="E93" s="9">
        <f t="shared" si="36"/>
        <v>0</v>
      </c>
      <c r="F93" s="9">
        <f t="shared" si="37"/>
        <v>0</v>
      </c>
      <c r="G93" s="9">
        <f t="shared" si="38"/>
        <v>0</v>
      </c>
      <c r="H93" s="9"/>
    </row>
    <row r="94" spans="1:8">
      <c r="A94" s="9">
        <f t="shared" si="27"/>
        <v>0</v>
      </c>
      <c r="B94" s="9">
        <f t="shared" si="34"/>
        <v>0</v>
      </c>
      <c r="C94" s="9">
        <f t="shared" si="32"/>
        <v>0</v>
      </c>
      <c r="D94" s="9">
        <f t="shared" si="35"/>
        <v>0</v>
      </c>
      <c r="E94" s="9">
        <f t="shared" si="36"/>
        <v>0</v>
      </c>
      <c r="F94" s="9">
        <f t="shared" si="37"/>
        <v>0</v>
      </c>
      <c r="G94" s="9">
        <f t="shared" si="38"/>
        <v>0</v>
      </c>
      <c r="H94" s="9"/>
    </row>
    <row r="95" spans="1:8">
      <c r="A95" s="9" t="str">
        <f t="shared" si="27"/>
        <v>Pomegranate</v>
      </c>
      <c r="B95" s="9">
        <f t="shared" si="34"/>
        <v>0</v>
      </c>
      <c r="C95" s="9">
        <f t="shared" si="32"/>
        <v>0</v>
      </c>
      <c r="D95" s="9">
        <f t="shared" si="32"/>
        <v>0</v>
      </c>
      <c r="E95" s="9">
        <f t="shared" si="32"/>
        <v>0</v>
      </c>
      <c r="F95" s="9">
        <f t="shared" si="32"/>
        <v>0</v>
      </c>
      <c r="G95" s="9">
        <f t="shared" si="32"/>
        <v>0</v>
      </c>
      <c r="H95" s="9">
        <f t="shared" si="32"/>
        <v>0</v>
      </c>
    </row>
    <row r="96" spans="1:8">
      <c r="A96" s="9" t="str">
        <f t="shared" si="27"/>
        <v>Custard Apple</v>
      </c>
      <c r="B96" s="9">
        <f t="shared" si="34"/>
        <v>0</v>
      </c>
      <c r="C96" s="9">
        <f t="shared" ref="C96:H98" si="39">(B96/B$72)*C$72</f>
        <v>0</v>
      </c>
      <c r="D96" s="9">
        <f t="shared" si="39"/>
        <v>0</v>
      </c>
      <c r="E96" s="9">
        <f t="shared" si="39"/>
        <v>0</v>
      </c>
      <c r="F96" s="9">
        <f t="shared" si="39"/>
        <v>0</v>
      </c>
      <c r="G96" s="9">
        <f t="shared" si="39"/>
        <v>0</v>
      </c>
      <c r="H96" s="9">
        <f t="shared" si="39"/>
        <v>0</v>
      </c>
    </row>
    <row r="97" spans="1:8">
      <c r="A97" s="9" t="str">
        <f t="shared" si="27"/>
        <v>Guava</v>
      </c>
      <c r="B97" s="9">
        <f t="shared" si="34"/>
        <v>0</v>
      </c>
      <c r="C97" s="9">
        <f t="shared" si="39"/>
        <v>0</v>
      </c>
      <c r="D97" s="9">
        <f t="shared" si="39"/>
        <v>0</v>
      </c>
      <c r="E97" s="9">
        <f t="shared" si="39"/>
        <v>0</v>
      </c>
      <c r="F97" s="9">
        <f t="shared" si="39"/>
        <v>0</v>
      </c>
      <c r="G97" s="9">
        <f t="shared" si="39"/>
        <v>0</v>
      </c>
      <c r="H97" s="9">
        <f t="shared" si="39"/>
        <v>0</v>
      </c>
    </row>
    <row r="98" spans="1:8">
      <c r="A98" s="9" t="str">
        <f t="shared" si="27"/>
        <v>Citrus</v>
      </c>
      <c r="B98" s="9">
        <f t="shared" si="34"/>
        <v>0</v>
      </c>
      <c r="C98" s="9">
        <f t="shared" si="39"/>
        <v>0</v>
      </c>
      <c r="D98" s="9">
        <f t="shared" ref="D98" si="40">(C98/C$72)*D$72</f>
        <v>0</v>
      </c>
      <c r="E98" s="9">
        <f t="shared" ref="E98" si="41">(D98/D$72)*E$72</f>
        <v>0</v>
      </c>
      <c r="F98" s="9">
        <f t="shared" ref="F98" si="42">(E98/E$72)*F$72</f>
        <v>0</v>
      </c>
      <c r="G98" s="9">
        <f t="shared" ref="G98" si="43">(F98/F$72)*G$72</f>
        <v>0</v>
      </c>
      <c r="H98" s="9">
        <f t="shared" ref="H98" si="44">(G98/G$72)*H$72</f>
        <v>0</v>
      </c>
    </row>
    <row r="99" spans="1:8" ht="18.75">
      <c r="A99" s="429" t="s">
        <v>582</v>
      </c>
      <c r="B99" s="430"/>
      <c r="C99" s="430"/>
      <c r="D99" s="430"/>
      <c r="E99" s="430"/>
      <c r="F99" s="430"/>
      <c r="G99" s="430"/>
      <c r="H99" s="431"/>
    </row>
    <row r="100" spans="1:8">
      <c r="A100" s="418" t="s">
        <v>0</v>
      </c>
      <c r="B100" s="294">
        <v>0.65</v>
      </c>
      <c r="C100" s="295">
        <f>B100+0.05</f>
        <v>0.70000000000000007</v>
      </c>
      <c r="D100" s="295">
        <f t="shared" ref="D100:G100" si="45">C100+0.05</f>
        <v>0.75000000000000011</v>
      </c>
      <c r="E100" s="295">
        <f t="shared" si="45"/>
        <v>0.80000000000000016</v>
      </c>
      <c r="F100" s="295">
        <f t="shared" si="45"/>
        <v>0.8500000000000002</v>
      </c>
      <c r="G100" s="295">
        <f t="shared" si="45"/>
        <v>0.90000000000000024</v>
      </c>
      <c r="H100" s="295">
        <f>G100+0.05</f>
        <v>0.95000000000000029</v>
      </c>
    </row>
    <row r="101" spans="1:8">
      <c r="A101" s="419"/>
      <c r="B101" s="269" t="s">
        <v>2</v>
      </c>
      <c r="C101" s="269" t="s">
        <v>3</v>
      </c>
      <c r="D101" s="269" t="s">
        <v>4</v>
      </c>
      <c r="E101" s="269" t="s">
        <v>5</v>
      </c>
      <c r="F101" s="269" t="s">
        <v>6</v>
      </c>
      <c r="G101" s="269" t="s">
        <v>168</v>
      </c>
      <c r="H101" s="269" t="s">
        <v>167</v>
      </c>
    </row>
    <row r="102" spans="1:8">
      <c r="A102" s="9" t="str">
        <f t="shared" ref="A102:A126" si="46">A74</f>
        <v>Onion</v>
      </c>
      <c r="B102" s="9">
        <f t="shared" ref="B102:B110" si="47">D14*$B$100</f>
        <v>0</v>
      </c>
      <c r="C102" s="9">
        <f t="shared" ref="C102:H117" si="48">(B102/B$100)*C$100</f>
        <v>0</v>
      </c>
      <c r="D102" s="9">
        <f t="shared" si="48"/>
        <v>0</v>
      </c>
      <c r="E102" s="9">
        <f t="shared" si="48"/>
        <v>0</v>
      </c>
      <c r="F102" s="9">
        <f t="shared" si="48"/>
        <v>0</v>
      </c>
      <c r="G102" s="9">
        <f t="shared" si="48"/>
        <v>0</v>
      </c>
      <c r="H102" s="9">
        <f t="shared" si="48"/>
        <v>0</v>
      </c>
    </row>
    <row r="103" spans="1:8">
      <c r="A103" s="9" t="str">
        <f t="shared" si="46"/>
        <v>Tomato</v>
      </c>
      <c r="B103" s="9">
        <f t="shared" si="47"/>
        <v>0</v>
      </c>
      <c r="C103" s="9">
        <f t="shared" si="48"/>
        <v>0</v>
      </c>
      <c r="D103" s="9">
        <f>(C103/C100)*D100</f>
        <v>0</v>
      </c>
      <c r="E103" s="9">
        <f t="shared" ref="E103:G103" si="49">(D103/D100)*E100</f>
        <v>0</v>
      </c>
      <c r="F103" s="9">
        <f t="shared" si="49"/>
        <v>0</v>
      </c>
      <c r="G103" s="9">
        <f t="shared" si="49"/>
        <v>0</v>
      </c>
      <c r="H103" s="9">
        <f>(G103/G100)*H100</f>
        <v>0</v>
      </c>
    </row>
    <row r="104" spans="1:8">
      <c r="A104" s="9" t="str">
        <f t="shared" si="46"/>
        <v>Okra</v>
      </c>
      <c r="B104" s="9">
        <f t="shared" si="47"/>
        <v>0</v>
      </c>
      <c r="C104" s="9">
        <f t="shared" si="48"/>
        <v>0</v>
      </c>
      <c r="D104" s="9">
        <f t="shared" si="48"/>
        <v>0</v>
      </c>
      <c r="E104" s="9">
        <f t="shared" si="48"/>
        <v>0</v>
      </c>
      <c r="F104" s="9">
        <f t="shared" si="48"/>
        <v>0</v>
      </c>
      <c r="G104" s="9">
        <f t="shared" si="48"/>
        <v>0</v>
      </c>
      <c r="H104" s="9">
        <f t="shared" si="48"/>
        <v>0</v>
      </c>
    </row>
    <row r="105" spans="1:8">
      <c r="A105" s="9" t="str">
        <f t="shared" si="46"/>
        <v>Chilli</v>
      </c>
      <c r="B105" s="9">
        <f t="shared" si="47"/>
        <v>0</v>
      </c>
      <c r="C105" s="9">
        <f t="shared" si="48"/>
        <v>0</v>
      </c>
      <c r="D105" s="9">
        <f t="shared" si="48"/>
        <v>0</v>
      </c>
      <c r="E105" s="9">
        <f t="shared" si="48"/>
        <v>0</v>
      </c>
      <c r="F105" s="9">
        <f t="shared" si="48"/>
        <v>0</v>
      </c>
      <c r="G105" s="9">
        <f t="shared" si="48"/>
        <v>0</v>
      </c>
      <c r="H105" s="9">
        <f t="shared" si="48"/>
        <v>0</v>
      </c>
    </row>
    <row r="106" spans="1:8">
      <c r="A106" s="9" t="str">
        <f t="shared" si="46"/>
        <v>Potato</v>
      </c>
      <c r="B106" s="9">
        <f t="shared" si="47"/>
        <v>0</v>
      </c>
      <c r="C106" s="9">
        <f t="shared" si="48"/>
        <v>0</v>
      </c>
      <c r="D106" s="9">
        <f t="shared" si="48"/>
        <v>0</v>
      </c>
      <c r="E106" s="9">
        <f t="shared" si="48"/>
        <v>0</v>
      </c>
      <c r="F106" s="9">
        <f t="shared" si="48"/>
        <v>0</v>
      </c>
      <c r="G106" s="9">
        <f t="shared" si="48"/>
        <v>0</v>
      </c>
      <c r="H106" s="9">
        <f t="shared" si="48"/>
        <v>0</v>
      </c>
    </row>
    <row r="107" spans="1:8">
      <c r="A107" s="9">
        <f t="shared" si="46"/>
        <v>0</v>
      </c>
      <c r="B107" s="9">
        <f t="shared" si="47"/>
        <v>0</v>
      </c>
      <c r="C107" s="9">
        <f t="shared" si="48"/>
        <v>0</v>
      </c>
      <c r="D107" s="9">
        <f t="shared" si="48"/>
        <v>0</v>
      </c>
      <c r="E107" s="9">
        <f t="shared" si="48"/>
        <v>0</v>
      </c>
      <c r="F107" s="9">
        <f t="shared" si="48"/>
        <v>0</v>
      </c>
      <c r="G107" s="9">
        <f t="shared" si="48"/>
        <v>0</v>
      </c>
      <c r="H107" s="9">
        <f t="shared" si="48"/>
        <v>0</v>
      </c>
    </row>
    <row r="108" spans="1:8">
      <c r="A108" s="9">
        <f t="shared" si="46"/>
        <v>0</v>
      </c>
      <c r="B108" s="9">
        <f t="shared" si="47"/>
        <v>0</v>
      </c>
      <c r="C108" s="9">
        <f t="shared" si="48"/>
        <v>0</v>
      </c>
      <c r="D108" s="9">
        <f t="shared" si="48"/>
        <v>0</v>
      </c>
      <c r="E108" s="9">
        <f t="shared" si="48"/>
        <v>0</v>
      </c>
      <c r="F108" s="9">
        <f t="shared" si="48"/>
        <v>0</v>
      </c>
      <c r="G108" s="9">
        <f t="shared" si="48"/>
        <v>0</v>
      </c>
      <c r="H108" s="9">
        <f t="shared" si="48"/>
        <v>0</v>
      </c>
    </row>
    <row r="109" spans="1:8">
      <c r="A109" s="9">
        <f t="shared" si="46"/>
        <v>0</v>
      </c>
      <c r="B109" s="9">
        <f t="shared" si="47"/>
        <v>0</v>
      </c>
      <c r="C109" s="9">
        <f t="shared" si="48"/>
        <v>0</v>
      </c>
      <c r="D109" s="9">
        <f t="shared" si="48"/>
        <v>0</v>
      </c>
      <c r="E109" s="9">
        <f t="shared" si="48"/>
        <v>0</v>
      </c>
      <c r="F109" s="9">
        <f t="shared" si="48"/>
        <v>0</v>
      </c>
      <c r="G109" s="9">
        <f t="shared" si="48"/>
        <v>0</v>
      </c>
      <c r="H109" s="9">
        <f t="shared" si="48"/>
        <v>0</v>
      </c>
    </row>
    <row r="110" spans="1:8">
      <c r="A110" s="9">
        <f t="shared" si="46"/>
        <v>0</v>
      </c>
      <c r="B110" s="9">
        <f t="shared" si="47"/>
        <v>0</v>
      </c>
      <c r="C110" s="9">
        <f t="shared" si="48"/>
        <v>0</v>
      </c>
      <c r="D110" s="9">
        <f t="shared" si="48"/>
        <v>0</v>
      </c>
      <c r="E110" s="9">
        <f t="shared" si="48"/>
        <v>0</v>
      </c>
      <c r="F110" s="9">
        <f t="shared" si="48"/>
        <v>0</v>
      </c>
      <c r="G110" s="9">
        <f t="shared" si="48"/>
        <v>0</v>
      </c>
      <c r="H110" s="9">
        <f t="shared" si="48"/>
        <v>0</v>
      </c>
    </row>
    <row r="111" spans="1:8">
      <c r="A111" s="9" t="str">
        <f t="shared" si="46"/>
        <v>Onion</v>
      </c>
      <c r="B111" s="9">
        <f t="shared" ref="B111:B118" si="50">D24*$B$100</f>
        <v>0</v>
      </c>
      <c r="C111" s="9">
        <f t="shared" si="48"/>
        <v>0</v>
      </c>
      <c r="D111" s="9">
        <f t="shared" si="48"/>
        <v>0</v>
      </c>
      <c r="E111" s="9">
        <f t="shared" si="48"/>
        <v>0</v>
      </c>
      <c r="F111" s="9">
        <f t="shared" si="48"/>
        <v>0</v>
      </c>
      <c r="G111" s="9">
        <f t="shared" si="48"/>
        <v>0</v>
      </c>
      <c r="H111" s="9">
        <f t="shared" si="48"/>
        <v>0</v>
      </c>
    </row>
    <row r="112" spans="1:8">
      <c r="A112" s="9" t="str">
        <f t="shared" si="46"/>
        <v>Tomato</v>
      </c>
      <c r="B112" s="9">
        <f t="shared" si="50"/>
        <v>0</v>
      </c>
      <c r="C112" s="9">
        <f t="shared" si="48"/>
        <v>0</v>
      </c>
      <c r="D112" s="9">
        <f t="shared" si="48"/>
        <v>0</v>
      </c>
      <c r="E112" s="9">
        <f t="shared" si="48"/>
        <v>0</v>
      </c>
      <c r="F112" s="9">
        <f t="shared" si="48"/>
        <v>0</v>
      </c>
      <c r="G112" s="9">
        <f t="shared" si="48"/>
        <v>0</v>
      </c>
      <c r="H112" s="9">
        <f t="shared" si="48"/>
        <v>0</v>
      </c>
    </row>
    <row r="113" spans="1:9">
      <c r="A113" s="9" t="str">
        <f t="shared" si="46"/>
        <v>Okra</v>
      </c>
      <c r="B113" s="9">
        <f t="shared" si="50"/>
        <v>0</v>
      </c>
      <c r="C113" s="9">
        <f t="shared" si="48"/>
        <v>0</v>
      </c>
      <c r="D113" s="9">
        <f t="shared" si="48"/>
        <v>0</v>
      </c>
      <c r="E113" s="9">
        <f t="shared" si="48"/>
        <v>0</v>
      </c>
      <c r="F113" s="9">
        <f t="shared" si="48"/>
        <v>0</v>
      </c>
      <c r="G113" s="9">
        <f t="shared" si="48"/>
        <v>0</v>
      </c>
      <c r="H113" s="9">
        <f t="shared" si="48"/>
        <v>0</v>
      </c>
    </row>
    <row r="114" spans="1:9">
      <c r="A114" s="9" t="str">
        <f t="shared" si="46"/>
        <v>Chilli</v>
      </c>
      <c r="B114" s="9">
        <f t="shared" si="50"/>
        <v>0</v>
      </c>
      <c r="C114" s="9">
        <f t="shared" si="48"/>
        <v>0</v>
      </c>
      <c r="D114" s="9">
        <f t="shared" si="48"/>
        <v>0</v>
      </c>
      <c r="E114" s="9">
        <f t="shared" si="48"/>
        <v>0</v>
      </c>
      <c r="F114" s="9">
        <f t="shared" si="48"/>
        <v>0</v>
      </c>
      <c r="G114" s="9">
        <f t="shared" si="48"/>
        <v>0</v>
      </c>
      <c r="H114" s="9">
        <f t="shared" si="48"/>
        <v>0</v>
      </c>
    </row>
    <row r="115" spans="1:9">
      <c r="A115" s="9" t="str">
        <f t="shared" si="46"/>
        <v>Brinjal</v>
      </c>
      <c r="B115" s="9">
        <f t="shared" si="50"/>
        <v>0</v>
      </c>
      <c r="C115" s="9">
        <f t="shared" si="48"/>
        <v>0</v>
      </c>
      <c r="D115" s="9">
        <f t="shared" si="48"/>
        <v>0</v>
      </c>
      <c r="E115" s="9">
        <f t="shared" si="48"/>
        <v>0</v>
      </c>
      <c r="F115" s="9">
        <f t="shared" si="48"/>
        <v>0</v>
      </c>
      <c r="G115" s="9">
        <f t="shared" si="48"/>
        <v>0</v>
      </c>
      <c r="H115" s="9">
        <f t="shared" si="48"/>
        <v>0</v>
      </c>
    </row>
    <row r="116" spans="1:9">
      <c r="A116" s="9">
        <f t="shared" si="46"/>
        <v>0</v>
      </c>
      <c r="B116" s="9">
        <f t="shared" si="50"/>
        <v>0</v>
      </c>
      <c r="C116" s="9">
        <f t="shared" si="48"/>
        <v>0</v>
      </c>
      <c r="D116" s="9">
        <f t="shared" si="48"/>
        <v>0</v>
      </c>
      <c r="E116" s="9">
        <f t="shared" si="48"/>
        <v>0</v>
      </c>
      <c r="F116" s="9">
        <f t="shared" si="48"/>
        <v>0</v>
      </c>
      <c r="G116" s="9">
        <f t="shared" si="48"/>
        <v>0</v>
      </c>
      <c r="H116" s="9">
        <f t="shared" si="48"/>
        <v>0</v>
      </c>
    </row>
    <row r="117" spans="1:9">
      <c r="A117" s="9">
        <f t="shared" si="46"/>
        <v>0</v>
      </c>
      <c r="B117" s="9">
        <f t="shared" si="50"/>
        <v>0</v>
      </c>
      <c r="C117" s="9">
        <f t="shared" si="48"/>
        <v>0</v>
      </c>
      <c r="D117" s="9">
        <f t="shared" si="48"/>
        <v>0</v>
      </c>
      <c r="E117" s="9">
        <f t="shared" si="48"/>
        <v>0</v>
      </c>
      <c r="F117" s="9">
        <f t="shared" si="48"/>
        <v>0</v>
      </c>
      <c r="G117" s="9">
        <f t="shared" si="48"/>
        <v>0</v>
      </c>
      <c r="H117" s="9">
        <f t="shared" si="48"/>
        <v>0</v>
      </c>
    </row>
    <row r="118" spans="1:9">
      <c r="A118" s="9">
        <f t="shared" si="46"/>
        <v>0</v>
      </c>
      <c r="B118" s="9">
        <f t="shared" si="50"/>
        <v>0</v>
      </c>
      <c r="C118" s="9">
        <f t="shared" ref="C118:H126" si="51">(B118/B$100)*C$100</f>
        <v>0</v>
      </c>
      <c r="D118" s="9">
        <f t="shared" si="51"/>
        <v>0</v>
      </c>
      <c r="E118" s="9">
        <f t="shared" si="51"/>
        <v>0</v>
      </c>
      <c r="F118" s="9">
        <f t="shared" si="51"/>
        <v>0</v>
      </c>
      <c r="G118" s="9">
        <f t="shared" si="51"/>
        <v>0</v>
      </c>
      <c r="H118" s="9">
        <f t="shared" si="51"/>
        <v>0</v>
      </c>
    </row>
    <row r="119" spans="1:9">
      <c r="A119" s="9">
        <f t="shared" si="46"/>
        <v>0</v>
      </c>
      <c r="B119" s="9">
        <f t="shared" ref="B119:B126" si="52">D33*$B$100</f>
        <v>0</v>
      </c>
      <c r="C119" s="9">
        <f t="shared" si="51"/>
        <v>0</v>
      </c>
      <c r="D119" s="9">
        <f t="shared" si="51"/>
        <v>0</v>
      </c>
      <c r="E119" s="9">
        <f t="shared" si="51"/>
        <v>0</v>
      </c>
      <c r="F119" s="9">
        <f t="shared" si="51"/>
        <v>0</v>
      </c>
      <c r="G119" s="9">
        <f t="shared" si="51"/>
        <v>0</v>
      </c>
      <c r="H119" s="9">
        <f t="shared" si="51"/>
        <v>0</v>
      </c>
    </row>
    <row r="120" spans="1:9">
      <c r="A120" s="9">
        <f t="shared" si="46"/>
        <v>0</v>
      </c>
      <c r="B120" s="9">
        <f t="shared" si="52"/>
        <v>0</v>
      </c>
      <c r="C120" s="9">
        <f t="shared" si="51"/>
        <v>0</v>
      </c>
      <c r="D120" s="9">
        <f t="shared" ref="D120:D122" si="53">(C120/C$100)*D$100</f>
        <v>0</v>
      </c>
      <c r="E120" s="9">
        <f t="shared" ref="E120:E122" si="54">(D120/D$100)*E$100</f>
        <v>0</v>
      </c>
      <c r="F120" s="9">
        <f t="shared" ref="F120:F122" si="55">(E120/E$100)*F$100</f>
        <v>0</v>
      </c>
      <c r="G120" s="9">
        <f t="shared" ref="G120:G122" si="56">(F120/F$100)*G$100</f>
        <v>0</v>
      </c>
      <c r="H120" s="9">
        <f t="shared" si="51"/>
        <v>0</v>
      </c>
    </row>
    <row r="121" spans="1:9">
      <c r="A121" s="9">
        <f t="shared" si="46"/>
        <v>0</v>
      </c>
      <c r="B121" s="9">
        <f t="shared" si="52"/>
        <v>0</v>
      </c>
      <c r="C121" s="9">
        <f t="shared" si="51"/>
        <v>0</v>
      </c>
      <c r="D121" s="9">
        <f t="shared" si="53"/>
        <v>0</v>
      </c>
      <c r="E121" s="9">
        <f t="shared" si="54"/>
        <v>0</v>
      </c>
      <c r="F121" s="9">
        <f t="shared" si="55"/>
        <v>0</v>
      </c>
      <c r="G121" s="9">
        <f t="shared" si="56"/>
        <v>0</v>
      </c>
      <c r="H121" s="9">
        <f t="shared" si="51"/>
        <v>0</v>
      </c>
    </row>
    <row r="122" spans="1:9">
      <c r="A122" s="9">
        <f t="shared" si="46"/>
        <v>0</v>
      </c>
      <c r="B122" s="9">
        <f t="shared" si="52"/>
        <v>0</v>
      </c>
      <c r="C122" s="9">
        <f t="shared" si="51"/>
        <v>0</v>
      </c>
      <c r="D122" s="9">
        <f t="shared" si="53"/>
        <v>0</v>
      </c>
      <c r="E122" s="9">
        <f t="shared" si="54"/>
        <v>0</v>
      </c>
      <c r="F122" s="9">
        <f t="shared" si="55"/>
        <v>0</v>
      </c>
      <c r="G122" s="9">
        <f t="shared" si="56"/>
        <v>0</v>
      </c>
      <c r="H122" s="9">
        <f t="shared" si="51"/>
        <v>0</v>
      </c>
    </row>
    <row r="123" spans="1:9">
      <c r="A123" s="9" t="str">
        <f t="shared" si="46"/>
        <v>Pomegranate</v>
      </c>
      <c r="B123" s="9">
        <f t="shared" si="52"/>
        <v>0</v>
      </c>
      <c r="C123" s="9">
        <f t="shared" si="51"/>
        <v>0</v>
      </c>
      <c r="D123" s="9">
        <f t="shared" si="51"/>
        <v>0</v>
      </c>
      <c r="E123" s="9">
        <f t="shared" si="51"/>
        <v>0</v>
      </c>
      <c r="F123" s="9">
        <f t="shared" si="51"/>
        <v>0</v>
      </c>
      <c r="G123" s="9">
        <f t="shared" si="51"/>
        <v>0</v>
      </c>
      <c r="H123" s="9">
        <f t="shared" si="51"/>
        <v>0</v>
      </c>
    </row>
    <row r="124" spans="1:9">
      <c r="A124" s="9" t="str">
        <f t="shared" si="46"/>
        <v>Custard Apple</v>
      </c>
      <c r="B124" s="9">
        <f t="shared" si="52"/>
        <v>0</v>
      </c>
      <c r="C124" s="9">
        <f t="shared" si="51"/>
        <v>0</v>
      </c>
      <c r="D124" s="9">
        <f t="shared" ref="D124" si="57">(C124/C$100)*D$100</f>
        <v>0</v>
      </c>
      <c r="E124" s="9">
        <f t="shared" ref="E124" si="58">(D124/D$100)*E$100</f>
        <v>0</v>
      </c>
      <c r="F124" s="9">
        <f t="shared" ref="F124" si="59">(E124/E$100)*F$100</f>
        <v>0</v>
      </c>
      <c r="G124" s="9">
        <f t="shared" ref="G124" si="60">(F124/F$100)*G$100</f>
        <v>0</v>
      </c>
      <c r="H124" s="9">
        <f t="shared" si="51"/>
        <v>0</v>
      </c>
    </row>
    <row r="125" spans="1:9">
      <c r="A125" s="9" t="str">
        <f t="shared" si="46"/>
        <v>Guava</v>
      </c>
      <c r="B125" s="9">
        <f t="shared" si="52"/>
        <v>0</v>
      </c>
      <c r="C125" s="9">
        <f t="shared" si="51"/>
        <v>0</v>
      </c>
      <c r="D125" s="9">
        <f t="shared" si="51"/>
        <v>0</v>
      </c>
      <c r="E125" s="9">
        <f t="shared" si="51"/>
        <v>0</v>
      </c>
      <c r="F125" s="9">
        <f t="shared" si="51"/>
        <v>0</v>
      </c>
      <c r="G125" s="9">
        <f t="shared" si="51"/>
        <v>0</v>
      </c>
      <c r="H125" s="9">
        <f t="shared" si="51"/>
        <v>0</v>
      </c>
    </row>
    <row r="126" spans="1:9">
      <c r="A126" s="9" t="str">
        <f t="shared" si="46"/>
        <v>Citrus</v>
      </c>
      <c r="B126" s="9">
        <f t="shared" si="52"/>
        <v>0</v>
      </c>
      <c r="C126" s="9">
        <f t="shared" si="51"/>
        <v>0</v>
      </c>
      <c r="D126" s="9">
        <f t="shared" si="51"/>
        <v>0</v>
      </c>
      <c r="E126" s="9">
        <f t="shared" si="51"/>
        <v>0</v>
      </c>
      <c r="F126" s="9">
        <f t="shared" si="51"/>
        <v>0</v>
      </c>
      <c r="G126" s="9">
        <f t="shared" si="51"/>
        <v>0</v>
      </c>
      <c r="H126" s="9">
        <f t="shared" si="51"/>
        <v>0</v>
      </c>
    </row>
    <row r="128" spans="1:9">
      <c r="C128" s="4"/>
      <c r="D128" s="6"/>
      <c r="E128" s="6"/>
      <c r="F128" s="6"/>
      <c r="G128" s="6"/>
      <c r="H128" s="6"/>
      <c r="I128" s="6"/>
    </row>
    <row r="129" spans="1:9">
      <c r="A129" t="s">
        <v>546</v>
      </c>
      <c r="C129" s="13"/>
      <c r="D129" s="13"/>
      <c r="E129" s="13"/>
      <c r="F129" s="13"/>
      <c r="G129" s="13"/>
      <c r="H129" s="13"/>
      <c r="I129" s="13"/>
    </row>
    <row r="130" spans="1:9">
      <c r="A130">
        <v>1</v>
      </c>
      <c r="B130" t="s">
        <v>547</v>
      </c>
    </row>
    <row r="131" spans="1:9">
      <c r="A131">
        <v>2</v>
      </c>
      <c r="B131" t="s">
        <v>548</v>
      </c>
    </row>
    <row r="132" spans="1:9">
      <c r="A132">
        <v>3</v>
      </c>
      <c r="B132" t="s">
        <v>549</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 right="0.7" top="0.75" bottom="0.75" header="0.3" footer="0.3"/>
  <pageSetup scale="93" orientation="portrait" r:id="rId1"/>
</worksheet>
</file>

<file path=xl/worksheets/sheet13.xml><?xml version="1.0" encoding="utf-8"?>
<worksheet xmlns="http://schemas.openxmlformats.org/spreadsheetml/2006/main" xmlns:r="http://schemas.openxmlformats.org/officeDocument/2006/relationships">
  <dimension ref="A2:T309"/>
  <sheetViews>
    <sheetView view="pageBreakPreview" topLeftCell="A214" zoomScale="80" zoomScaleSheetLayoutView="80" workbookViewId="0">
      <selection activeCell="F291" sqref="F291"/>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368" t="s">
        <v>583</v>
      </c>
      <c r="B2" s="368"/>
      <c r="C2" s="368"/>
      <c r="D2" s="368"/>
      <c r="E2" s="368"/>
      <c r="F2" s="368"/>
      <c r="G2" s="368"/>
      <c r="H2" s="368"/>
    </row>
    <row r="3" spans="1:8" ht="18.75">
      <c r="A3" s="368" t="s">
        <v>584</v>
      </c>
      <c r="B3" s="368"/>
      <c r="C3" s="368"/>
      <c r="D3" s="368"/>
      <c r="E3" s="368"/>
      <c r="F3" s="368"/>
      <c r="G3" s="368"/>
      <c r="H3" s="368"/>
    </row>
    <row r="4" spans="1:8">
      <c r="B4" s="73"/>
      <c r="C4" s="73"/>
      <c r="D4" s="73"/>
      <c r="E4" s="73"/>
      <c r="F4" s="370" t="s">
        <v>472</v>
      </c>
      <c r="G4" s="370"/>
      <c r="H4" s="370"/>
    </row>
    <row r="5" spans="1:8">
      <c r="A5" s="73" t="s">
        <v>160</v>
      </c>
      <c r="B5" s="219">
        <f>(2*1000)/100</f>
        <v>20</v>
      </c>
      <c r="C5" s="73" t="s">
        <v>448</v>
      </c>
      <c r="D5" s="73"/>
      <c r="E5" s="73"/>
      <c r="F5" s="258" t="s">
        <v>473</v>
      </c>
      <c r="G5" s="258" t="s">
        <v>474</v>
      </c>
      <c r="H5" s="73"/>
    </row>
    <row r="6" spans="1:8">
      <c r="A6" s="73" t="s">
        <v>161</v>
      </c>
      <c r="B6" s="248">
        <v>8</v>
      </c>
      <c r="C6" s="73"/>
      <c r="D6" s="73"/>
      <c r="E6" s="73"/>
      <c r="F6" s="9" t="s">
        <v>470</v>
      </c>
      <c r="G6" s="277">
        <v>0.03</v>
      </c>
      <c r="H6" s="73"/>
    </row>
    <row r="7" spans="1:8">
      <c r="A7" s="73"/>
      <c r="B7" s="73"/>
      <c r="C7" s="73"/>
      <c r="D7" s="73"/>
      <c r="E7" s="73"/>
      <c r="F7" s="9" t="s">
        <v>471</v>
      </c>
      <c r="G7" s="277">
        <v>0.05</v>
      </c>
      <c r="H7" s="73"/>
    </row>
    <row r="8" spans="1:8">
      <c r="A8" s="73" t="s">
        <v>520</v>
      </c>
      <c r="B8" s="73">
        <v>0</v>
      </c>
      <c r="C8" s="73"/>
      <c r="D8" s="73"/>
      <c r="E8" s="73"/>
      <c r="F8" s="9"/>
      <c r="G8" s="277"/>
      <c r="H8" s="73"/>
    </row>
    <row r="9" spans="1:8">
      <c r="A9" s="125" t="s">
        <v>0</v>
      </c>
      <c r="B9" s="97" t="s">
        <v>2</v>
      </c>
      <c r="C9" s="97" t="s">
        <v>3</v>
      </c>
      <c r="D9" s="97" t="s">
        <v>4</v>
      </c>
      <c r="E9" s="97" t="s">
        <v>5</v>
      </c>
      <c r="F9" s="97" t="s">
        <v>6</v>
      </c>
      <c r="G9" s="97" t="s">
        <v>168</v>
      </c>
      <c r="H9" s="97" t="s">
        <v>167</v>
      </c>
    </row>
    <row r="10" spans="1:8">
      <c r="A10" s="74" t="s">
        <v>447</v>
      </c>
      <c r="B10" s="162">
        <f>B33/($B$5*$B$6)</f>
        <v>48.890289374999995</v>
      </c>
      <c r="C10" s="162">
        <f t="shared" ref="C10:H10" si="0">C33/($B$5*$B$6)</f>
        <v>57.038670937499987</v>
      </c>
      <c r="D10" s="162">
        <f t="shared" si="0"/>
        <v>65.187052499999993</v>
      </c>
      <c r="E10" s="162">
        <f t="shared" si="0"/>
        <v>73.335434062499999</v>
      </c>
      <c r="F10" s="162">
        <f t="shared" si="0"/>
        <v>81.483815624999991</v>
      </c>
      <c r="G10" s="162">
        <f t="shared" si="0"/>
        <v>89.632197187499997</v>
      </c>
      <c r="H10" s="162">
        <f t="shared" si="0"/>
        <v>97.780578750000004</v>
      </c>
    </row>
    <row r="11" spans="1:8">
      <c r="A11" s="169" t="str">
        <f>'10.Grain Production details'!A42</f>
        <v>Soybean</v>
      </c>
      <c r="B11" s="169">
        <f>'10.Grain Production details'!B42</f>
        <v>0</v>
      </c>
      <c r="C11" s="169">
        <f>'10.Grain Production details'!C42</f>
        <v>0</v>
      </c>
      <c r="D11" s="169">
        <f>'10.Grain Production details'!D42</f>
        <v>0</v>
      </c>
      <c r="E11" s="169">
        <f>'10.Grain Production details'!E42</f>
        <v>0</v>
      </c>
      <c r="F11" s="169">
        <f>'10.Grain Production details'!F42</f>
        <v>0</v>
      </c>
      <c r="G11" s="169">
        <f>'10.Grain Production details'!G42</f>
        <v>0</v>
      </c>
      <c r="H11" s="169">
        <f>'10.Grain Production details'!H42</f>
        <v>0</v>
      </c>
    </row>
    <row r="12" spans="1:8">
      <c r="A12" s="169" t="str">
        <f>'10.Grain Production details'!A43</f>
        <v>Red Gram/Tur</v>
      </c>
      <c r="B12" s="169">
        <f>'10.Grain Production details'!B43</f>
        <v>2592.36</v>
      </c>
      <c r="C12" s="169">
        <f>'10.Grain Production details'!C43</f>
        <v>3024.42</v>
      </c>
      <c r="D12" s="169">
        <f>'10.Grain Production details'!D43</f>
        <v>3456.48</v>
      </c>
      <c r="E12" s="169">
        <f>'10.Grain Production details'!E43</f>
        <v>3888.54</v>
      </c>
      <c r="F12" s="169">
        <f>'10.Grain Production details'!F43</f>
        <v>4320.5999999999995</v>
      </c>
      <c r="G12" s="169">
        <f>'10.Grain Production details'!G43</f>
        <v>4752.66</v>
      </c>
      <c r="H12" s="169">
        <f>'10.Grain Production details'!H43</f>
        <v>5184.72</v>
      </c>
    </row>
    <row r="13" spans="1:8">
      <c r="A13" s="169" t="str">
        <f>'10.Grain Production details'!A44</f>
        <v>Paddy/Rice</v>
      </c>
      <c r="B13" s="169">
        <f>'10.Grain Production details'!B44</f>
        <v>0</v>
      </c>
      <c r="C13" s="169">
        <f>'10.Grain Production details'!C44</f>
        <v>0</v>
      </c>
      <c r="D13" s="169">
        <f>'10.Grain Production details'!D44</f>
        <v>0</v>
      </c>
      <c r="E13" s="169">
        <f>'10.Grain Production details'!E44</f>
        <v>0</v>
      </c>
      <c r="F13" s="169">
        <f>'10.Grain Production details'!F44</f>
        <v>0</v>
      </c>
      <c r="G13" s="169">
        <f>'10.Grain Production details'!G44</f>
        <v>0</v>
      </c>
      <c r="H13" s="169">
        <f>'10.Grain Production details'!H44</f>
        <v>0</v>
      </c>
    </row>
    <row r="14" spans="1:8">
      <c r="A14" s="169" t="str">
        <f>'10.Grain Production details'!A45</f>
        <v>Green Gram/ Moong</v>
      </c>
      <c r="B14" s="169">
        <f>'10.Grain Production details'!B45</f>
        <v>1403.9675999999999</v>
      </c>
      <c r="C14" s="169">
        <f>'10.Grain Production details'!C45</f>
        <v>1637.9621999999999</v>
      </c>
      <c r="D14" s="169">
        <f>'10.Grain Production details'!D45</f>
        <v>1871.9567999999997</v>
      </c>
      <c r="E14" s="169">
        <f>'10.Grain Production details'!E45</f>
        <v>2105.9513999999999</v>
      </c>
      <c r="F14" s="169">
        <f>'10.Grain Production details'!F45</f>
        <v>2339.9459999999999</v>
      </c>
      <c r="G14" s="169">
        <f>'10.Grain Production details'!G45</f>
        <v>2573.9405999999999</v>
      </c>
      <c r="H14" s="169">
        <f>'10.Grain Production details'!H45</f>
        <v>2807.9352000000003</v>
      </c>
    </row>
    <row r="15" spans="1:8">
      <c r="A15" s="169" t="str">
        <f>'10.Grain Production details'!A46</f>
        <v>Maize</v>
      </c>
      <c r="B15" s="169">
        <f>'10.Grain Production details'!B46</f>
        <v>0</v>
      </c>
      <c r="C15" s="169">
        <f>'10.Grain Production details'!C46</f>
        <v>0</v>
      </c>
      <c r="D15" s="169">
        <f>'10.Grain Production details'!D46</f>
        <v>0</v>
      </c>
      <c r="E15" s="169">
        <f>'10.Grain Production details'!E46</f>
        <v>0</v>
      </c>
      <c r="F15" s="169">
        <f>'10.Grain Production details'!F46</f>
        <v>0</v>
      </c>
      <c r="G15" s="169">
        <f>'10.Grain Production details'!G46</f>
        <v>0</v>
      </c>
      <c r="H15" s="169">
        <f>'10.Grain Production details'!H46</f>
        <v>0</v>
      </c>
    </row>
    <row r="16" spans="1:8">
      <c r="A16" s="169" t="str">
        <f>'10.Grain Production details'!A47</f>
        <v>Black Gram/Udid</v>
      </c>
      <c r="B16" s="169">
        <f>'10.Grain Production details'!B47</f>
        <v>716.31</v>
      </c>
      <c r="C16" s="169">
        <f>'10.Grain Production details'!C47</f>
        <v>835.69499999999994</v>
      </c>
      <c r="D16" s="169">
        <f>'10.Grain Production details'!D47</f>
        <v>955.07999999999981</v>
      </c>
      <c r="E16" s="169">
        <f>'10.Grain Production details'!E47</f>
        <v>1074.4649999999999</v>
      </c>
      <c r="F16" s="169">
        <f>'10.Grain Production details'!F47</f>
        <v>1193.8499999999999</v>
      </c>
      <c r="G16" s="169">
        <f>'10.Grain Production details'!G47</f>
        <v>1313.2349999999999</v>
      </c>
      <c r="H16" s="169">
        <f>'10.Grain Production details'!H47</f>
        <v>1432.6200000000001</v>
      </c>
    </row>
    <row r="17" spans="1:8">
      <c r="A17" s="169" t="str">
        <f>'10.Grain Production details'!A48</f>
        <v>Bajra</v>
      </c>
      <c r="B17" s="169">
        <f>'10.Grain Production details'!B48</f>
        <v>0</v>
      </c>
      <c r="C17" s="169">
        <f>'10.Grain Production details'!C48</f>
        <v>0</v>
      </c>
      <c r="D17" s="169">
        <f>'10.Grain Production details'!D48</f>
        <v>0</v>
      </c>
      <c r="E17" s="169">
        <f>'10.Grain Production details'!E48</f>
        <v>0</v>
      </c>
      <c r="F17" s="169">
        <f>'10.Grain Production details'!F48</f>
        <v>0</v>
      </c>
      <c r="G17" s="169">
        <f>'10.Grain Production details'!G48</f>
        <v>0</v>
      </c>
      <c r="H17" s="169">
        <f>'10.Grain Production details'!H48</f>
        <v>0</v>
      </c>
    </row>
    <row r="18" spans="1:8">
      <c r="A18" s="169" t="str">
        <f>'10.Grain Production details'!A49</f>
        <v>Jawar</v>
      </c>
      <c r="B18" s="169">
        <f>'10.Grain Production details'!B49</f>
        <v>0</v>
      </c>
      <c r="C18" s="169">
        <f>'10.Grain Production details'!C49</f>
        <v>0</v>
      </c>
      <c r="D18" s="169">
        <f>'10.Grain Production details'!D49</f>
        <v>0</v>
      </c>
      <c r="E18" s="169">
        <f>'10.Grain Production details'!E49</f>
        <v>0</v>
      </c>
      <c r="F18" s="169">
        <f>'10.Grain Production details'!F49</f>
        <v>0</v>
      </c>
      <c r="G18" s="169">
        <f>'10.Grain Production details'!G49</f>
        <v>0</v>
      </c>
      <c r="H18" s="169">
        <f>'10.Grain Production details'!H49</f>
        <v>0</v>
      </c>
    </row>
    <row r="19" spans="1:8">
      <c r="A19" s="169" t="str">
        <f>'10.Grain Production details'!A50</f>
        <v>Sunflower</v>
      </c>
      <c r="B19" s="169">
        <f>'10.Grain Production details'!B50</f>
        <v>0</v>
      </c>
      <c r="C19" s="169">
        <f>'10.Grain Production details'!C50</f>
        <v>0</v>
      </c>
      <c r="D19" s="169">
        <f>'10.Grain Production details'!D50</f>
        <v>0</v>
      </c>
      <c r="E19" s="169">
        <f>'10.Grain Production details'!E50</f>
        <v>0</v>
      </c>
      <c r="F19" s="169">
        <f>'10.Grain Production details'!F50</f>
        <v>0</v>
      </c>
      <c r="G19" s="169">
        <f>'10.Grain Production details'!G50</f>
        <v>0</v>
      </c>
      <c r="H19" s="169">
        <f>'10.Grain Production details'!H50</f>
        <v>0</v>
      </c>
    </row>
    <row r="20" spans="1:8">
      <c r="A20" s="169" t="str">
        <f>'10.Grain Production details'!A51</f>
        <v>Wheat</v>
      </c>
      <c r="B20" s="169">
        <f>'10.Grain Production details'!B51</f>
        <v>613.9799999999999</v>
      </c>
      <c r="C20" s="169">
        <f>'10.Grain Production details'!C51</f>
        <v>716.30999999999983</v>
      </c>
      <c r="D20" s="169">
        <f>'10.Grain Production details'!D51</f>
        <v>818.63999999999976</v>
      </c>
      <c r="E20" s="169">
        <f>'10.Grain Production details'!E51</f>
        <v>920.96999999999969</v>
      </c>
      <c r="F20" s="169">
        <f>'10.Grain Production details'!F51</f>
        <v>1023.2999999999996</v>
      </c>
      <c r="G20" s="169">
        <f>'10.Grain Production details'!G51</f>
        <v>1125.6299999999997</v>
      </c>
      <c r="H20" s="169">
        <f>'10.Grain Production details'!H51</f>
        <v>1227.9599999999998</v>
      </c>
    </row>
    <row r="21" spans="1:8">
      <c r="A21" s="169" t="str">
        <f>'10.Grain Production details'!A52</f>
        <v>Bengal Gram/Channa</v>
      </c>
      <c r="B21" s="169">
        <f>'10.Grain Production details'!B52</f>
        <v>1381.4550000000002</v>
      </c>
      <c r="C21" s="169">
        <f>'10.Grain Production details'!C52</f>
        <v>1611.6975</v>
      </c>
      <c r="D21" s="169">
        <f>'10.Grain Production details'!D52</f>
        <v>1841.94</v>
      </c>
      <c r="E21" s="169">
        <f>'10.Grain Production details'!E52</f>
        <v>2072.1824999999999</v>
      </c>
      <c r="F21" s="169">
        <f>'10.Grain Production details'!F52</f>
        <v>2302.4249999999997</v>
      </c>
      <c r="G21" s="169">
        <f>'10.Grain Production details'!G52</f>
        <v>2532.6675</v>
      </c>
      <c r="H21" s="169">
        <f>'10.Grain Production details'!H52</f>
        <v>2762.9100000000003</v>
      </c>
    </row>
    <row r="22" spans="1:8">
      <c r="A22" s="169" t="str">
        <f>'10.Grain Production details'!A53</f>
        <v>Jawar</v>
      </c>
      <c r="B22" s="169">
        <f>'10.Grain Production details'!B53</f>
        <v>0</v>
      </c>
      <c r="C22" s="169">
        <f>'10.Grain Production details'!C53</f>
        <v>0</v>
      </c>
      <c r="D22" s="169">
        <f>'10.Grain Production details'!D53</f>
        <v>0</v>
      </c>
      <c r="E22" s="169">
        <f>'10.Grain Production details'!E53</f>
        <v>0</v>
      </c>
      <c r="F22" s="169">
        <f>'10.Grain Production details'!F53</f>
        <v>0</v>
      </c>
      <c r="G22" s="169">
        <f>'10.Grain Production details'!G53</f>
        <v>0</v>
      </c>
      <c r="H22" s="169">
        <f>'10.Grain Production details'!H53</f>
        <v>0</v>
      </c>
    </row>
    <row r="23" spans="1:8">
      <c r="A23" s="169" t="str">
        <f>'10.Grain Production details'!A54</f>
        <v>Maize</v>
      </c>
      <c r="B23" s="169">
        <f>'10.Grain Production details'!B54</f>
        <v>0</v>
      </c>
      <c r="C23" s="169">
        <f>'10.Grain Production details'!C54</f>
        <v>0</v>
      </c>
      <c r="D23" s="169">
        <f>'10.Grain Production details'!D54</f>
        <v>0</v>
      </c>
      <c r="E23" s="169">
        <f>'10.Grain Production details'!E54</f>
        <v>0</v>
      </c>
      <c r="F23" s="169">
        <f>'10.Grain Production details'!F54</f>
        <v>0</v>
      </c>
      <c r="G23" s="169">
        <f>'10.Grain Production details'!G54</f>
        <v>0</v>
      </c>
      <c r="H23" s="169">
        <f>'10.Grain Production details'!H54</f>
        <v>0</v>
      </c>
    </row>
    <row r="24" spans="1:8">
      <c r="A24" s="169" t="str">
        <f>'10.Grain Production details'!A55</f>
        <v>Safflower</v>
      </c>
      <c r="B24" s="169">
        <f>'10.Grain Production details'!B55</f>
        <v>0</v>
      </c>
      <c r="C24" s="169">
        <f>'10.Grain Production details'!C55</f>
        <v>0</v>
      </c>
      <c r="D24" s="169">
        <f>'10.Grain Production details'!D55</f>
        <v>0</v>
      </c>
      <c r="E24" s="169">
        <f>'10.Grain Production details'!E55</f>
        <v>0</v>
      </c>
      <c r="F24" s="169">
        <f>'10.Grain Production details'!F55</f>
        <v>0</v>
      </c>
      <c r="G24" s="169">
        <f>'10.Grain Production details'!G55</f>
        <v>0</v>
      </c>
      <c r="H24" s="169">
        <f>'10.Grain Production details'!H55</f>
        <v>0</v>
      </c>
    </row>
    <row r="25" spans="1:8">
      <c r="A25" s="169" t="str">
        <f>'10.Grain Production details'!A56</f>
        <v>Groundnut</v>
      </c>
      <c r="B25" s="169">
        <f>'10.Grain Production details'!B56</f>
        <v>967.01849999999979</v>
      </c>
      <c r="C25" s="169">
        <f>'10.Grain Production details'!C56</f>
        <v>1128.1882499999997</v>
      </c>
      <c r="D25" s="169">
        <f>'10.Grain Production details'!D56</f>
        <v>1289.3579999999997</v>
      </c>
      <c r="E25" s="169">
        <f>'10.Grain Production details'!E56</f>
        <v>1450.5277499999997</v>
      </c>
      <c r="F25" s="169">
        <f>'10.Grain Production details'!F56</f>
        <v>1611.6974999999995</v>
      </c>
      <c r="G25" s="169">
        <f>'10.Grain Production details'!G56</f>
        <v>1772.8672499999996</v>
      </c>
      <c r="H25" s="169">
        <f>'10.Grain Production details'!H56</f>
        <v>1934.0369999999996</v>
      </c>
    </row>
    <row r="26" spans="1:8">
      <c r="A26" s="169">
        <f>'10.Grain Production details'!A57</f>
        <v>0</v>
      </c>
      <c r="B26" s="169">
        <f>'10.Grain Production details'!B57</f>
        <v>0</v>
      </c>
      <c r="C26" s="169">
        <f>'10.Grain Production details'!C57</f>
        <v>0</v>
      </c>
      <c r="D26" s="169">
        <f>'10.Grain Production details'!D57</f>
        <v>0</v>
      </c>
      <c r="E26" s="169">
        <f>'10.Grain Production details'!E57</f>
        <v>0</v>
      </c>
      <c r="F26" s="169">
        <f>'10.Grain Production details'!F57</f>
        <v>0</v>
      </c>
      <c r="G26" s="169">
        <f>'10.Grain Production details'!G57</f>
        <v>0</v>
      </c>
      <c r="H26" s="169">
        <f>'10.Grain Production details'!H57</f>
        <v>0</v>
      </c>
    </row>
    <row r="27" spans="1:8">
      <c r="A27" s="169">
        <f>'10.Grain Production details'!A58</f>
        <v>0</v>
      </c>
      <c r="B27" s="169">
        <f>'10.Grain Production details'!B58</f>
        <v>0</v>
      </c>
      <c r="C27" s="169">
        <f>'10.Grain Production details'!C58</f>
        <v>0</v>
      </c>
      <c r="D27" s="169">
        <f>'10.Grain Production details'!D58</f>
        <v>0</v>
      </c>
      <c r="E27" s="169">
        <f>'10.Grain Production details'!E58</f>
        <v>0</v>
      </c>
      <c r="F27" s="169">
        <f>'10.Grain Production details'!F58</f>
        <v>0</v>
      </c>
      <c r="G27" s="169">
        <f>'10.Grain Production details'!G58</f>
        <v>0</v>
      </c>
      <c r="H27" s="169">
        <f>'10.Grain Production details'!H58</f>
        <v>0</v>
      </c>
    </row>
    <row r="28" spans="1:8">
      <c r="A28" s="169" t="str">
        <f>'10.Grain Production details'!A59</f>
        <v>Groundnut</v>
      </c>
      <c r="B28" s="169">
        <f>'10.Grain Production details'!B59</f>
        <v>147.3552</v>
      </c>
      <c r="C28" s="169">
        <f>'10.Grain Production details'!C59</f>
        <v>171.9144</v>
      </c>
      <c r="D28" s="169">
        <f>'10.Grain Production details'!D59</f>
        <v>196.4736</v>
      </c>
      <c r="E28" s="169">
        <f>'10.Grain Production details'!E59</f>
        <v>221.03279999999998</v>
      </c>
      <c r="F28" s="169">
        <f>'10.Grain Production details'!F59</f>
        <v>245.59199999999998</v>
      </c>
      <c r="G28" s="169">
        <f>'10.Grain Production details'!G59</f>
        <v>270.15119999999996</v>
      </c>
      <c r="H28" s="169">
        <f>'10.Grain Production details'!H59</f>
        <v>294.71039999999999</v>
      </c>
    </row>
    <row r="29" spans="1:8">
      <c r="A29" s="169">
        <f>'10.Grain Production details'!A60</f>
        <v>0</v>
      </c>
      <c r="B29" s="169">
        <f>'10.Grain Production details'!B60</f>
        <v>0</v>
      </c>
      <c r="C29" s="169">
        <f>'10.Grain Production details'!C60</f>
        <v>0</v>
      </c>
      <c r="D29" s="169">
        <f>'10.Grain Production details'!D60</f>
        <v>0</v>
      </c>
      <c r="E29" s="169">
        <f>'10.Grain Production details'!E60</f>
        <v>0</v>
      </c>
      <c r="F29" s="169">
        <f>'10.Grain Production details'!F60</f>
        <v>0</v>
      </c>
      <c r="G29" s="169">
        <f>'10.Grain Production details'!G60</f>
        <v>0</v>
      </c>
      <c r="H29" s="169">
        <f>'10.Grain Production details'!H60</f>
        <v>0</v>
      </c>
    </row>
    <row r="30" spans="1:8">
      <c r="A30" s="169">
        <f>'10.Grain Production details'!A61</f>
        <v>0</v>
      </c>
      <c r="B30" s="169">
        <f>'10.Grain Production details'!B61</f>
        <v>0</v>
      </c>
      <c r="C30" s="169">
        <f>'10.Grain Production details'!C61</f>
        <v>0</v>
      </c>
      <c r="D30" s="169">
        <f>'10.Grain Production details'!D61</f>
        <v>0</v>
      </c>
      <c r="E30" s="169">
        <f>'10.Grain Production details'!E61</f>
        <v>0</v>
      </c>
      <c r="F30" s="169">
        <f>'10.Grain Production details'!F61</f>
        <v>0</v>
      </c>
      <c r="G30" s="169">
        <f>'10.Grain Production details'!G61</f>
        <v>0</v>
      </c>
      <c r="H30" s="169">
        <f>'10.Grain Production details'!H61</f>
        <v>0</v>
      </c>
    </row>
    <row r="31" spans="1:8">
      <c r="A31" s="169">
        <f>'10.Grain Production details'!A62</f>
        <v>0</v>
      </c>
      <c r="B31" s="169">
        <f>'10.Grain Production details'!B62</f>
        <v>0</v>
      </c>
      <c r="C31" s="169">
        <f>'10.Grain Production details'!C62</f>
        <v>0</v>
      </c>
      <c r="D31" s="169">
        <f>'10.Grain Production details'!D62</f>
        <v>0</v>
      </c>
      <c r="E31" s="169">
        <f>'10.Grain Production details'!E62</f>
        <v>0</v>
      </c>
      <c r="F31" s="169">
        <f>'10.Grain Production details'!F62</f>
        <v>0</v>
      </c>
      <c r="G31" s="169">
        <f>'10.Grain Production details'!G62</f>
        <v>0</v>
      </c>
      <c r="H31" s="169">
        <f>'10.Grain Production details'!H62</f>
        <v>0</v>
      </c>
    </row>
    <row r="32" spans="1:8">
      <c r="A32" s="169">
        <f>'10.Grain Production details'!B63</f>
        <v>0</v>
      </c>
      <c r="B32" s="169">
        <f>'10.Grain Production details'!C63</f>
        <v>0</v>
      </c>
      <c r="C32" s="169">
        <f>'10.Grain Production details'!D63</f>
        <v>0</v>
      </c>
      <c r="D32" s="169">
        <f>'10.Grain Production details'!E63</f>
        <v>0</v>
      </c>
      <c r="E32" s="169">
        <f>'10.Grain Production details'!F63</f>
        <v>0</v>
      </c>
      <c r="F32" s="169">
        <f>'10.Grain Production details'!G63</f>
        <v>0</v>
      </c>
      <c r="G32" s="169">
        <f>'10.Grain Production details'!H63</f>
        <v>0</v>
      </c>
      <c r="H32" s="169">
        <f>'10.Grain Production details'!I63</f>
        <v>0</v>
      </c>
    </row>
    <row r="33" spans="1:8">
      <c r="A33" s="76" t="s">
        <v>517</v>
      </c>
      <c r="B33" s="169">
        <f t="shared" ref="B33:H33" si="1">SUM(B11:B32)</f>
        <v>7822.4462999999996</v>
      </c>
      <c r="C33" s="169">
        <f t="shared" si="1"/>
        <v>9126.1873499999983</v>
      </c>
      <c r="D33" s="169">
        <f t="shared" si="1"/>
        <v>10429.928399999999</v>
      </c>
      <c r="E33" s="169">
        <f t="shared" si="1"/>
        <v>11733.669449999999</v>
      </c>
      <c r="F33" s="169">
        <f t="shared" si="1"/>
        <v>13037.410499999998</v>
      </c>
      <c r="G33" s="169">
        <f t="shared" si="1"/>
        <v>14341.151549999999</v>
      </c>
      <c r="H33" s="169">
        <f t="shared" si="1"/>
        <v>15644.892600000001</v>
      </c>
    </row>
    <row r="34" spans="1:8">
      <c r="A34" s="169" t="str">
        <f>'11.F&amp;V Crop Production details'!A1:H1</f>
        <v>Fruit  &amp; Vegetables Crop Production Details</v>
      </c>
      <c r="B34" s="169"/>
      <c r="C34" s="169"/>
      <c r="D34" s="169"/>
      <c r="E34" s="169"/>
      <c r="F34" s="169"/>
      <c r="G34" s="169"/>
      <c r="H34" s="169"/>
    </row>
    <row r="35" spans="1:8">
      <c r="A35" s="169" t="str">
        <f>'11.F&amp;V Crop Production details'!A46</f>
        <v>Onion</v>
      </c>
      <c r="B35" s="169">
        <f>'11.F&amp;V Crop Production details'!B46</f>
        <v>0</v>
      </c>
      <c r="C35" s="169">
        <f>'11.F&amp;V Crop Production details'!C46</f>
        <v>0</v>
      </c>
      <c r="D35" s="169">
        <f>'11.F&amp;V Crop Production details'!D46</f>
        <v>0</v>
      </c>
      <c r="E35" s="169">
        <f>'11.F&amp;V Crop Production details'!E46</f>
        <v>0</v>
      </c>
      <c r="F35" s="169">
        <f>'11.F&amp;V Crop Production details'!F46</f>
        <v>0</v>
      </c>
      <c r="G35" s="169">
        <f>'11.F&amp;V Crop Production details'!G46</f>
        <v>0</v>
      </c>
      <c r="H35" s="169">
        <f>'11.F&amp;V Crop Production details'!H46</f>
        <v>0</v>
      </c>
    </row>
    <row r="36" spans="1:8">
      <c r="A36" s="169" t="str">
        <f>'11.F&amp;V Crop Production details'!A47</f>
        <v>Tomato</v>
      </c>
      <c r="B36" s="169">
        <f>'11.F&amp;V Crop Production details'!B47</f>
        <v>0</v>
      </c>
      <c r="C36" s="169">
        <f>'11.F&amp;V Crop Production details'!C47</f>
        <v>0</v>
      </c>
      <c r="D36" s="169">
        <f>'11.F&amp;V Crop Production details'!D47</f>
        <v>0</v>
      </c>
      <c r="E36" s="169">
        <f>'11.F&amp;V Crop Production details'!E47</f>
        <v>0</v>
      </c>
      <c r="F36" s="169">
        <f>'11.F&amp;V Crop Production details'!F47</f>
        <v>0</v>
      </c>
      <c r="G36" s="169">
        <f>'11.F&amp;V Crop Production details'!G47</f>
        <v>0</v>
      </c>
      <c r="H36" s="169">
        <f>'11.F&amp;V Crop Production details'!H47</f>
        <v>0</v>
      </c>
    </row>
    <row r="37" spans="1:8">
      <c r="A37" s="169" t="str">
        <f>'11.F&amp;V Crop Production details'!A48</f>
        <v>Okra</v>
      </c>
      <c r="B37" s="169">
        <f>'11.F&amp;V Crop Production details'!B48</f>
        <v>0</v>
      </c>
      <c r="C37" s="169">
        <f>'11.F&amp;V Crop Production details'!C48</f>
        <v>0</v>
      </c>
      <c r="D37" s="169">
        <f>'11.F&amp;V Crop Production details'!D48</f>
        <v>0</v>
      </c>
      <c r="E37" s="169">
        <f>'11.F&amp;V Crop Production details'!E48</f>
        <v>0</v>
      </c>
      <c r="F37" s="169">
        <f>'11.F&amp;V Crop Production details'!F48</f>
        <v>0</v>
      </c>
      <c r="G37" s="169">
        <f>'11.F&amp;V Crop Production details'!G48</f>
        <v>0</v>
      </c>
      <c r="H37" s="169">
        <f>'11.F&amp;V Crop Production details'!H48</f>
        <v>0</v>
      </c>
    </row>
    <row r="38" spans="1:8">
      <c r="A38" s="169" t="str">
        <f>'11.F&amp;V Crop Production details'!A49</f>
        <v>Chilli</v>
      </c>
      <c r="B38" s="169">
        <f>'11.F&amp;V Crop Production details'!B49</f>
        <v>0</v>
      </c>
      <c r="C38" s="169">
        <f>'11.F&amp;V Crop Production details'!C49</f>
        <v>0</v>
      </c>
      <c r="D38" s="169">
        <f>'11.F&amp;V Crop Production details'!D49</f>
        <v>0</v>
      </c>
      <c r="E38" s="169">
        <f>'11.F&amp;V Crop Production details'!E49</f>
        <v>0</v>
      </c>
      <c r="F38" s="169">
        <f>'11.F&amp;V Crop Production details'!F49</f>
        <v>0</v>
      </c>
      <c r="G38" s="169">
        <f>'11.F&amp;V Crop Production details'!G49</f>
        <v>0</v>
      </c>
      <c r="H38" s="169">
        <f>'11.F&amp;V Crop Production details'!H49</f>
        <v>0</v>
      </c>
    </row>
    <row r="39" spans="1:8">
      <c r="A39" s="169" t="str">
        <f>'11.F&amp;V Crop Production details'!A50</f>
        <v>Potato</v>
      </c>
      <c r="B39" s="169">
        <f>'11.F&amp;V Crop Production details'!B50</f>
        <v>0</v>
      </c>
      <c r="C39" s="169">
        <f>'11.F&amp;V Crop Production details'!C50</f>
        <v>0</v>
      </c>
      <c r="D39" s="169">
        <f>'11.F&amp;V Crop Production details'!D50</f>
        <v>0</v>
      </c>
      <c r="E39" s="169">
        <f>'11.F&amp;V Crop Production details'!E50</f>
        <v>0</v>
      </c>
      <c r="F39" s="169">
        <f>'11.F&amp;V Crop Production details'!F50</f>
        <v>0</v>
      </c>
      <c r="G39" s="169">
        <f>'11.F&amp;V Crop Production details'!G50</f>
        <v>0</v>
      </c>
      <c r="H39" s="169">
        <f>'11.F&amp;V Crop Production details'!H50</f>
        <v>0</v>
      </c>
    </row>
    <row r="40" spans="1:8">
      <c r="A40" s="169">
        <f>'11.F&amp;V Crop Production details'!A51</f>
        <v>0</v>
      </c>
      <c r="B40" s="169">
        <f>'11.F&amp;V Crop Production details'!B51</f>
        <v>0</v>
      </c>
      <c r="C40" s="169">
        <f>'11.F&amp;V Crop Production details'!C51</f>
        <v>0</v>
      </c>
      <c r="D40" s="169">
        <f>'11.F&amp;V Crop Production details'!D51</f>
        <v>0</v>
      </c>
      <c r="E40" s="169">
        <f>'11.F&amp;V Crop Production details'!E51</f>
        <v>0</v>
      </c>
      <c r="F40" s="169">
        <f>'11.F&amp;V Crop Production details'!F51</f>
        <v>0</v>
      </c>
      <c r="G40" s="169">
        <f>'11.F&amp;V Crop Production details'!G51</f>
        <v>0</v>
      </c>
      <c r="H40" s="169">
        <f>'11.F&amp;V Crop Production details'!H51</f>
        <v>0</v>
      </c>
    </row>
    <row r="41" spans="1:8">
      <c r="A41" s="169">
        <f>'11.F&amp;V Crop Production details'!A52</f>
        <v>0</v>
      </c>
      <c r="B41" s="169">
        <f>'11.F&amp;V Crop Production details'!B52</f>
        <v>0</v>
      </c>
      <c r="C41" s="169">
        <f>'11.F&amp;V Crop Production details'!C52</f>
        <v>0</v>
      </c>
      <c r="D41" s="169">
        <f>'11.F&amp;V Crop Production details'!D52</f>
        <v>0</v>
      </c>
      <c r="E41" s="169">
        <f>'11.F&amp;V Crop Production details'!E52</f>
        <v>0</v>
      </c>
      <c r="F41" s="169">
        <f>'11.F&amp;V Crop Production details'!F52</f>
        <v>0</v>
      </c>
      <c r="G41" s="169">
        <f>'11.F&amp;V Crop Production details'!G52</f>
        <v>0</v>
      </c>
      <c r="H41" s="169">
        <f>'11.F&amp;V Crop Production details'!H52</f>
        <v>0</v>
      </c>
    </row>
    <row r="42" spans="1:8">
      <c r="A42" s="169">
        <f>'11.F&amp;V Crop Production details'!A53</f>
        <v>0</v>
      </c>
      <c r="B42" s="169">
        <f>'11.F&amp;V Crop Production details'!B53</f>
        <v>0</v>
      </c>
      <c r="C42" s="169">
        <f>'11.F&amp;V Crop Production details'!C53</f>
        <v>0</v>
      </c>
      <c r="D42" s="169">
        <f>'11.F&amp;V Crop Production details'!D53</f>
        <v>0</v>
      </c>
      <c r="E42" s="169">
        <f>'11.F&amp;V Crop Production details'!E53</f>
        <v>0</v>
      </c>
      <c r="F42" s="169">
        <f>'11.F&amp;V Crop Production details'!F53</f>
        <v>0</v>
      </c>
      <c r="G42" s="169">
        <f>'11.F&amp;V Crop Production details'!G53</f>
        <v>0</v>
      </c>
      <c r="H42" s="169">
        <f>'11.F&amp;V Crop Production details'!H53</f>
        <v>0</v>
      </c>
    </row>
    <row r="43" spans="1:8">
      <c r="A43" s="169">
        <f>'11.F&amp;V Crop Production details'!A54</f>
        <v>0</v>
      </c>
      <c r="B43" s="169">
        <f>'11.F&amp;V Crop Production details'!B54</f>
        <v>0</v>
      </c>
      <c r="C43" s="169">
        <f>'11.F&amp;V Crop Production details'!C54</f>
        <v>0</v>
      </c>
      <c r="D43" s="169">
        <f>'11.F&amp;V Crop Production details'!D54</f>
        <v>0</v>
      </c>
      <c r="E43" s="169">
        <f>'11.F&amp;V Crop Production details'!E54</f>
        <v>0</v>
      </c>
      <c r="F43" s="169">
        <f>'11.F&amp;V Crop Production details'!F54</f>
        <v>0</v>
      </c>
      <c r="G43" s="169">
        <f>'11.F&amp;V Crop Production details'!G54</f>
        <v>0</v>
      </c>
      <c r="H43" s="169">
        <f>'11.F&amp;V Crop Production details'!H54</f>
        <v>0</v>
      </c>
    </row>
    <row r="44" spans="1:8">
      <c r="A44" s="169" t="str">
        <f>'11.F&amp;V Crop Production details'!A55</f>
        <v>Onion</v>
      </c>
      <c r="B44" s="169">
        <f>'11.F&amp;V Crop Production details'!B55</f>
        <v>0</v>
      </c>
      <c r="C44" s="169">
        <f>'11.F&amp;V Crop Production details'!C55</f>
        <v>0</v>
      </c>
      <c r="D44" s="169">
        <f>'11.F&amp;V Crop Production details'!D55</f>
        <v>0</v>
      </c>
      <c r="E44" s="169">
        <f>'11.F&amp;V Crop Production details'!E55</f>
        <v>0</v>
      </c>
      <c r="F44" s="169">
        <f>'11.F&amp;V Crop Production details'!F55</f>
        <v>0</v>
      </c>
      <c r="G44" s="169">
        <f>'11.F&amp;V Crop Production details'!G55</f>
        <v>0</v>
      </c>
      <c r="H44" s="169">
        <f>'11.F&amp;V Crop Production details'!H55</f>
        <v>0</v>
      </c>
    </row>
    <row r="45" spans="1:8">
      <c r="A45" s="169" t="str">
        <f>'11.F&amp;V Crop Production details'!A56</f>
        <v>Tomato</v>
      </c>
      <c r="B45" s="169">
        <f>'11.F&amp;V Crop Production details'!B56</f>
        <v>0</v>
      </c>
      <c r="C45" s="169">
        <f>'11.F&amp;V Crop Production details'!C56</f>
        <v>0</v>
      </c>
      <c r="D45" s="169">
        <f>'11.F&amp;V Crop Production details'!D56</f>
        <v>0</v>
      </c>
      <c r="E45" s="169">
        <f>'11.F&amp;V Crop Production details'!E56</f>
        <v>0</v>
      </c>
      <c r="F45" s="169">
        <f>'11.F&amp;V Crop Production details'!F56</f>
        <v>0</v>
      </c>
      <c r="G45" s="169">
        <f>'11.F&amp;V Crop Production details'!G56</f>
        <v>0</v>
      </c>
      <c r="H45" s="169">
        <f>'11.F&amp;V Crop Production details'!H56</f>
        <v>0</v>
      </c>
    </row>
    <row r="46" spans="1:8">
      <c r="A46" s="169" t="str">
        <f>'11.F&amp;V Crop Production details'!A57</f>
        <v>Okra</v>
      </c>
      <c r="B46" s="169">
        <f>'11.F&amp;V Crop Production details'!B57</f>
        <v>0</v>
      </c>
      <c r="C46" s="169">
        <f>'11.F&amp;V Crop Production details'!C57</f>
        <v>0</v>
      </c>
      <c r="D46" s="169">
        <f>'11.F&amp;V Crop Production details'!D57</f>
        <v>0</v>
      </c>
      <c r="E46" s="169">
        <f>'11.F&amp;V Crop Production details'!E57</f>
        <v>0</v>
      </c>
      <c r="F46" s="169">
        <f>'11.F&amp;V Crop Production details'!F57</f>
        <v>0</v>
      </c>
      <c r="G46" s="169">
        <f>'11.F&amp;V Crop Production details'!G57</f>
        <v>0</v>
      </c>
      <c r="H46" s="169">
        <f>'11.F&amp;V Crop Production details'!H57</f>
        <v>0</v>
      </c>
    </row>
    <row r="47" spans="1:8">
      <c r="A47" s="169" t="str">
        <f>'11.F&amp;V Crop Production details'!A58</f>
        <v>Chilli</v>
      </c>
      <c r="B47" s="169">
        <f>'11.F&amp;V Crop Production details'!B58</f>
        <v>0</v>
      </c>
      <c r="C47" s="169">
        <f>'11.F&amp;V Crop Production details'!C58</f>
        <v>0</v>
      </c>
      <c r="D47" s="169">
        <f>'11.F&amp;V Crop Production details'!D58</f>
        <v>0</v>
      </c>
      <c r="E47" s="169">
        <f>'11.F&amp;V Crop Production details'!E58</f>
        <v>0</v>
      </c>
      <c r="F47" s="169">
        <f>'11.F&amp;V Crop Production details'!F58</f>
        <v>0</v>
      </c>
      <c r="G47" s="169">
        <f>'11.F&amp;V Crop Production details'!G58</f>
        <v>0</v>
      </c>
      <c r="H47" s="169">
        <f>'11.F&amp;V Crop Production details'!H58</f>
        <v>0</v>
      </c>
    </row>
    <row r="48" spans="1:8">
      <c r="A48" s="169" t="str">
        <f>'11.F&amp;V Crop Production details'!A59</f>
        <v>Brinjal</v>
      </c>
      <c r="B48" s="169">
        <f>'11.F&amp;V Crop Production details'!B59</f>
        <v>0</v>
      </c>
      <c r="C48" s="169">
        <f>'11.F&amp;V Crop Production details'!C59</f>
        <v>0</v>
      </c>
      <c r="D48" s="169">
        <f>'11.F&amp;V Crop Production details'!D59</f>
        <v>0</v>
      </c>
      <c r="E48" s="169">
        <f>'11.F&amp;V Crop Production details'!E59</f>
        <v>0</v>
      </c>
      <c r="F48" s="169">
        <f>'11.F&amp;V Crop Production details'!F59</f>
        <v>0</v>
      </c>
      <c r="G48" s="169">
        <f>'11.F&amp;V Crop Production details'!G59</f>
        <v>0</v>
      </c>
      <c r="H48" s="169">
        <f>'11.F&amp;V Crop Production details'!H59</f>
        <v>0</v>
      </c>
    </row>
    <row r="49" spans="1:8">
      <c r="A49" s="169">
        <f>'11.F&amp;V Crop Production details'!A60</f>
        <v>0</v>
      </c>
      <c r="B49" s="169">
        <f>'11.F&amp;V Crop Production details'!B60</f>
        <v>0</v>
      </c>
      <c r="C49" s="169">
        <f>'11.F&amp;V Crop Production details'!C60</f>
        <v>0</v>
      </c>
      <c r="D49" s="169">
        <f>'11.F&amp;V Crop Production details'!D60</f>
        <v>0</v>
      </c>
      <c r="E49" s="169">
        <f>'11.F&amp;V Crop Production details'!E60</f>
        <v>0</v>
      </c>
      <c r="F49" s="169">
        <f>'11.F&amp;V Crop Production details'!F60</f>
        <v>0</v>
      </c>
      <c r="G49" s="169">
        <f>'11.F&amp;V Crop Production details'!G60</f>
        <v>0</v>
      </c>
      <c r="H49" s="169">
        <f>'11.F&amp;V Crop Production details'!H60</f>
        <v>0</v>
      </c>
    </row>
    <row r="50" spans="1:8">
      <c r="A50" s="169">
        <f>'11.F&amp;V Crop Production details'!A61</f>
        <v>0</v>
      </c>
      <c r="B50" s="169">
        <f>'11.F&amp;V Crop Production details'!B61</f>
        <v>0</v>
      </c>
      <c r="C50" s="169">
        <f>'11.F&amp;V Crop Production details'!C61</f>
        <v>0</v>
      </c>
      <c r="D50" s="169">
        <f>'11.F&amp;V Crop Production details'!D61</f>
        <v>0</v>
      </c>
      <c r="E50" s="169">
        <f>'11.F&amp;V Crop Production details'!E61</f>
        <v>0</v>
      </c>
      <c r="F50" s="169">
        <f>'11.F&amp;V Crop Production details'!F61</f>
        <v>0</v>
      </c>
      <c r="G50" s="169">
        <f>'11.F&amp;V Crop Production details'!G61</f>
        <v>0</v>
      </c>
      <c r="H50" s="169">
        <f>'11.F&amp;V Crop Production details'!H61</f>
        <v>0</v>
      </c>
    </row>
    <row r="51" spans="1:8">
      <c r="A51" s="169">
        <f>'11.F&amp;V Crop Production details'!A62</f>
        <v>0</v>
      </c>
      <c r="B51" s="169">
        <f>'11.F&amp;V Crop Production details'!B62</f>
        <v>0</v>
      </c>
      <c r="C51" s="169">
        <f>'11.F&amp;V Crop Production details'!C62</f>
        <v>0</v>
      </c>
      <c r="D51" s="169">
        <f>'11.F&amp;V Crop Production details'!D62</f>
        <v>0</v>
      </c>
      <c r="E51" s="169">
        <f>'11.F&amp;V Crop Production details'!E62</f>
        <v>0</v>
      </c>
      <c r="F51" s="169">
        <f>'11.F&amp;V Crop Production details'!F62</f>
        <v>0</v>
      </c>
      <c r="G51" s="169">
        <f>'11.F&amp;V Crop Production details'!G62</f>
        <v>0</v>
      </c>
      <c r="H51" s="169">
        <f>'11.F&amp;V Crop Production details'!H62</f>
        <v>0</v>
      </c>
    </row>
    <row r="52" spans="1:8">
      <c r="A52" s="169">
        <f>'11.F&amp;V Crop Production details'!A63</f>
        <v>0</v>
      </c>
      <c r="B52" s="169">
        <f>'11.F&amp;V Crop Production details'!B63</f>
        <v>0</v>
      </c>
      <c r="C52" s="169">
        <f>'11.F&amp;V Crop Production details'!C63</f>
        <v>0</v>
      </c>
      <c r="D52" s="169">
        <f>'11.F&amp;V Crop Production details'!D63</f>
        <v>0</v>
      </c>
      <c r="E52" s="169">
        <f>'11.F&amp;V Crop Production details'!E63</f>
        <v>0</v>
      </c>
      <c r="F52" s="169">
        <f>'11.F&amp;V Crop Production details'!F63</f>
        <v>0</v>
      </c>
      <c r="G52" s="169">
        <f>'11.F&amp;V Crop Production details'!G63</f>
        <v>0</v>
      </c>
      <c r="H52" s="169">
        <f>'11.F&amp;V Crop Production details'!H63</f>
        <v>0</v>
      </c>
    </row>
    <row r="53" spans="1:8">
      <c r="A53" s="169">
        <f>'11.F&amp;V Crop Production details'!A64</f>
        <v>0</v>
      </c>
      <c r="B53" s="169"/>
      <c r="C53" s="169"/>
      <c r="D53" s="169"/>
      <c r="E53" s="169"/>
      <c r="F53" s="169"/>
      <c r="G53" s="169"/>
      <c r="H53" s="169"/>
    </row>
    <row r="54" spans="1:8">
      <c r="A54" s="169">
        <f>'11.F&amp;V Crop Production details'!A65</f>
        <v>0</v>
      </c>
      <c r="B54" s="169"/>
      <c r="C54" s="169"/>
      <c r="D54" s="169"/>
      <c r="E54" s="169"/>
      <c r="F54" s="169"/>
      <c r="G54" s="169"/>
      <c r="H54" s="169"/>
    </row>
    <row r="55" spans="1:8">
      <c r="A55" s="169">
        <f>'11.F&amp;V Crop Production details'!A66</f>
        <v>0</v>
      </c>
      <c r="B55" s="169"/>
      <c r="C55" s="169"/>
      <c r="D55" s="169"/>
      <c r="E55" s="169"/>
      <c r="F55" s="169"/>
      <c r="G55" s="169"/>
      <c r="H55" s="169"/>
    </row>
    <row r="56" spans="1:8">
      <c r="A56" s="169" t="str">
        <f>'11.F&amp;V Crop Production details'!A67</f>
        <v>Pomegranate</v>
      </c>
      <c r="B56" s="169">
        <f>'11.F&amp;V Crop Production details'!B67</f>
        <v>0</v>
      </c>
      <c r="C56" s="169">
        <f>'11.F&amp;V Crop Production details'!C67</f>
        <v>0</v>
      </c>
      <c r="D56" s="169">
        <f>'11.F&amp;V Crop Production details'!D67</f>
        <v>0</v>
      </c>
      <c r="E56" s="169">
        <f>'11.F&amp;V Crop Production details'!E67</f>
        <v>0</v>
      </c>
      <c r="F56" s="169">
        <f>'11.F&amp;V Crop Production details'!F67</f>
        <v>0</v>
      </c>
      <c r="G56" s="169">
        <f>'11.F&amp;V Crop Production details'!G67</f>
        <v>0</v>
      </c>
      <c r="H56" s="169">
        <f>'11.F&amp;V Crop Production details'!H67</f>
        <v>0</v>
      </c>
    </row>
    <row r="57" spans="1:8">
      <c r="A57" s="169" t="str">
        <f>'11.F&amp;V Crop Production details'!A68</f>
        <v>Custard Apple</v>
      </c>
      <c r="B57" s="169">
        <f>'11.F&amp;V Crop Production details'!B68</f>
        <v>0</v>
      </c>
      <c r="C57" s="169">
        <f>'11.F&amp;V Crop Production details'!C68</f>
        <v>0</v>
      </c>
      <c r="D57" s="169">
        <f>'11.F&amp;V Crop Production details'!D68</f>
        <v>0</v>
      </c>
      <c r="E57" s="169">
        <f>'11.F&amp;V Crop Production details'!E68</f>
        <v>0</v>
      </c>
      <c r="F57" s="169">
        <f>'11.F&amp;V Crop Production details'!F68</f>
        <v>0</v>
      </c>
      <c r="G57" s="169">
        <f>'11.F&amp;V Crop Production details'!G68</f>
        <v>0</v>
      </c>
      <c r="H57" s="169">
        <f>'11.F&amp;V Crop Production details'!H68</f>
        <v>0</v>
      </c>
    </row>
    <row r="58" spans="1:8">
      <c r="A58" s="169" t="str">
        <f>'11.F&amp;V Crop Production details'!A69</f>
        <v>Guava</v>
      </c>
      <c r="B58" s="169">
        <f>'11.F&amp;V Crop Production details'!B69</f>
        <v>0</v>
      </c>
      <c r="C58" s="169">
        <f>'11.F&amp;V Crop Production details'!C69</f>
        <v>0</v>
      </c>
      <c r="D58" s="169">
        <f>'11.F&amp;V Crop Production details'!D69</f>
        <v>0</v>
      </c>
      <c r="E58" s="169">
        <f>'11.F&amp;V Crop Production details'!E69</f>
        <v>0</v>
      </c>
      <c r="F58" s="169">
        <f>'11.F&amp;V Crop Production details'!F69</f>
        <v>0</v>
      </c>
      <c r="G58" s="169">
        <f>'11.F&amp;V Crop Production details'!G69</f>
        <v>0</v>
      </c>
      <c r="H58" s="169">
        <f>'11.F&amp;V Crop Production details'!H69</f>
        <v>0</v>
      </c>
    </row>
    <row r="59" spans="1:8">
      <c r="A59" s="169" t="str">
        <f>'11.F&amp;V Crop Production details'!A70</f>
        <v>Citrus</v>
      </c>
      <c r="B59" s="169">
        <f>'11.F&amp;V Crop Production details'!B70</f>
        <v>0</v>
      </c>
      <c r="C59" s="169">
        <f>'11.F&amp;V Crop Production details'!C70</f>
        <v>0</v>
      </c>
      <c r="D59" s="169">
        <f>'11.F&amp;V Crop Production details'!D70</f>
        <v>0</v>
      </c>
      <c r="E59" s="169">
        <f>'11.F&amp;V Crop Production details'!E70</f>
        <v>0</v>
      </c>
      <c r="F59" s="169">
        <f>'11.F&amp;V Crop Production details'!F70</f>
        <v>0</v>
      </c>
      <c r="G59" s="169">
        <f>'11.F&amp;V Crop Production details'!G70</f>
        <v>0</v>
      </c>
      <c r="H59" s="169">
        <f>'11.F&amp;V Crop Production details'!H70</f>
        <v>0</v>
      </c>
    </row>
    <row r="60" spans="1:8">
      <c r="A60" s="169"/>
      <c r="B60" s="169"/>
      <c r="C60" s="169"/>
      <c r="D60" s="169"/>
      <c r="E60" s="169"/>
      <c r="F60" s="169"/>
      <c r="G60" s="169"/>
      <c r="H60" s="169"/>
    </row>
    <row r="61" spans="1:8">
      <c r="A61" s="76" t="s">
        <v>516</v>
      </c>
      <c r="B61" s="169">
        <f t="shared" ref="B61:H61" si="2">SUM(B35:B59)</f>
        <v>0</v>
      </c>
      <c r="C61" s="169">
        <f t="shared" si="2"/>
        <v>0</v>
      </c>
      <c r="D61" s="169">
        <f t="shared" si="2"/>
        <v>0</v>
      </c>
      <c r="E61" s="169">
        <f t="shared" si="2"/>
        <v>0</v>
      </c>
      <c r="F61" s="169">
        <f t="shared" si="2"/>
        <v>0</v>
      </c>
      <c r="G61" s="169">
        <f t="shared" si="2"/>
        <v>0</v>
      </c>
      <c r="H61" s="169">
        <f t="shared" si="2"/>
        <v>0</v>
      </c>
    </row>
    <row r="62" spans="1:8">
      <c r="A62" s="250" t="s">
        <v>518</v>
      </c>
      <c r="B62" s="263">
        <v>0.5</v>
      </c>
      <c r="C62" s="263">
        <v>0.5</v>
      </c>
      <c r="D62" s="263">
        <v>0.5</v>
      </c>
      <c r="E62" s="263">
        <v>0.5</v>
      </c>
      <c r="F62" s="263">
        <v>0.5</v>
      </c>
      <c r="G62" s="263">
        <v>0.5</v>
      </c>
      <c r="H62" s="263">
        <v>0.5</v>
      </c>
    </row>
    <row r="63" spans="1:8">
      <c r="A63" s="250" t="s">
        <v>519</v>
      </c>
      <c r="B63" s="263">
        <f t="shared" ref="B63:H63" si="3">1-B62</f>
        <v>0.5</v>
      </c>
      <c r="C63" s="263">
        <f t="shared" si="3"/>
        <v>0.5</v>
      </c>
      <c r="D63" s="263">
        <f t="shared" si="3"/>
        <v>0.5</v>
      </c>
      <c r="E63" s="263">
        <f t="shared" si="3"/>
        <v>0.5</v>
      </c>
      <c r="F63" s="263">
        <f t="shared" si="3"/>
        <v>0.5</v>
      </c>
      <c r="G63" s="263">
        <f t="shared" si="3"/>
        <v>0.5</v>
      </c>
      <c r="H63" s="263">
        <f t="shared" si="3"/>
        <v>0.5</v>
      </c>
    </row>
    <row r="64" spans="1:8">
      <c r="A64" s="250"/>
      <c r="B64" s="263"/>
      <c r="C64" s="263"/>
      <c r="D64" s="263"/>
      <c r="E64" s="263"/>
      <c r="F64" s="263"/>
      <c r="G64" s="263"/>
      <c r="H64" s="263"/>
    </row>
    <row r="65" spans="1:8">
      <c r="A65" s="250" t="s">
        <v>164</v>
      </c>
      <c r="B65" s="251">
        <f t="shared" ref="B65:H65" si="4">B33*B62</f>
        <v>3911.2231499999998</v>
      </c>
      <c r="C65" s="251">
        <f t="shared" si="4"/>
        <v>4563.0936749999992</v>
      </c>
      <c r="D65" s="251">
        <f t="shared" si="4"/>
        <v>5214.9641999999994</v>
      </c>
      <c r="E65" s="251">
        <f t="shared" si="4"/>
        <v>5866.8347249999997</v>
      </c>
      <c r="F65" s="251">
        <f t="shared" si="4"/>
        <v>6518.7052499999991</v>
      </c>
      <c r="G65" s="251">
        <f t="shared" si="4"/>
        <v>7170.5757749999993</v>
      </c>
      <c r="H65" s="251">
        <f t="shared" si="4"/>
        <v>7822.4463000000005</v>
      </c>
    </row>
    <row r="66" spans="1:8">
      <c r="A66" s="76"/>
      <c r="B66" s="169"/>
      <c r="C66" s="169"/>
      <c r="D66" s="169"/>
      <c r="E66" s="169"/>
      <c r="F66" s="169"/>
      <c r="G66" s="169"/>
      <c r="H66" s="169"/>
    </row>
    <row r="67" spans="1:8">
      <c r="A67" s="76" t="s">
        <v>165</v>
      </c>
      <c r="B67" s="169"/>
      <c r="C67" s="169"/>
      <c r="D67" s="169"/>
      <c r="E67" s="169"/>
      <c r="F67" s="169"/>
      <c r="G67" s="169"/>
      <c r="H67" s="169"/>
    </row>
    <row r="68" spans="1:8">
      <c r="A68" s="74" t="str">
        <f t="shared" ref="A68:A89" si="5">A11</f>
        <v>Soybean</v>
      </c>
      <c r="B68" s="262">
        <f t="shared" ref="B68:B89" si="6">B11*$B$63</f>
        <v>0</v>
      </c>
      <c r="C68" s="262">
        <f t="shared" ref="C68:C83" si="7">C11*$C$63</f>
        <v>0</v>
      </c>
      <c r="D68" s="262">
        <f t="shared" ref="D68:D83" si="8">D11*$D$63</f>
        <v>0</v>
      </c>
      <c r="E68" s="262">
        <f t="shared" ref="E68:E83" si="9">E11*$E$63</f>
        <v>0</v>
      </c>
      <c r="F68" s="262">
        <f t="shared" ref="F68:F83" si="10">F11*$F$63</f>
        <v>0</v>
      </c>
      <c r="G68" s="262">
        <f t="shared" ref="G68:G83" si="11">G11*$G$63</f>
        <v>0</v>
      </c>
      <c r="H68" s="262">
        <f t="shared" ref="H68:H83" si="12">H11*$H$63</f>
        <v>0</v>
      </c>
    </row>
    <row r="69" spans="1:8">
      <c r="A69" s="74" t="str">
        <f t="shared" si="5"/>
        <v>Red Gram/Tur</v>
      </c>
      <c r="B69" s="262">
        <f t="shared" si="6"/>
        <v>1296.18</v>
      </c>
      <c r="C69" s="262">
        <f t="shared" si="7"/>
        <v>1512.21</v>
      </c>
      <c r="D69" s="262">
        <f t="shared" si="8"/>
        <v>1728.24</v>
      </c>
      <c r="E69" s="262">
        <f t="shared" si="9"/>
        <v>1944.27</v>
      </c>
      <c r="F69" s="262">
        <f t="shared" si="10"/>
        <v>2160.2999999999997</v>
      </c>
      <c r="G69" s="262">
        <f t="shared" si="11"/>
        <v>2376.33</v>
      </c>
      <c r="H69" s="262">
        <f t="shared" si="12"/>
        <v>2592.36</v>
      </c>
    </row>
    <row r="70" spans="1:8">
      <c r="A70" s="74" t="str">
        <f t="shared" si="5"/>
        <v>Paddy/Rice</v>
      </c>
      <c r="B70" s="262">
        <f t="shared" si="6"/>
        <v>0</v>
      </c>
      <c r="C70" s="262">
        <f t="shared" si="7"/>
        <v>0</v>
      </c>
      <c r="D70" s="262">
        <f t="shared" si="8"/>
        <v>0</v>
      </c>
      <c r="E70" s="262">
        <f t="shared" si="9"/>
        <v>0</v>
      </c>
      <c r="F70" s="262">
        <f t="shared" si="10"/>
        <v>0</v>
      </c>
      <c r="G70" s="262">
        <f t="shared" si="11"/>
        <v>0</v>
      </c>
      <c r="H70" s="262">
        <f t="shared" si="12"/>
        <v>0</v>
      </c>
    </row>
    <row r="71" spans="1:8">
      <c r="A71" s="74" t="str">
        <f t="shared" si="5"/>
        <v>Green Gram/ Moong</v>
      </c>
      <c r="B71" s="262">
        <f t="shared" si="6"/>
        <v>701.98379999999997</v>
      </c>
      <c r="C71" s="262">
        <f t="shared" si="7"/>
        <v>818.98109999999997</v>
      </c>
      <c r="D71" s="262">
        <f t="shared" si="8"/>
        <v>935.97839999999985</v>
      </c>
      <c r="E71" s="262">
        <f t="shared" si="9"/>
        <v>1052.9757</v>
      </c>
      <c r="F71" s="262">
        <f t="shared" si="10"/>
        <v>1169.973</v>
      </c>
      <c r="G71" s="262">
        <f t="shared" si="11"/>
        <v>1286.9703</v>
      </c>
      <c r="H71" s="262">
        <f t="shared" si="12"/>
        <v>1403.9676000000002</v>
      </c>
    </row>
    <row r="72" spans="1:8">
      <c r="A72" s="74" t="str">
        <f t="shared" si="5"/>
        <v>Maize</v>
      </c>
      <c r="B72" s="262">
        <f t="shared" si="6"/>
        <v>0</v>
      </c>
      <c r="C72" s="262">
        <f t="shared" si="7"/>
        <v>0</v>
      </c>
      <c r="D72" s="262">
        <f t="shared" si="8"/>
        <v>0</v>
      </c>
      <c r="E72" s="262">
        <f t="shared" si="9"/>
        <v>0</v>
      </c>
      <c r="F72" s="262">
        <f t="shared" si="10"/>
        <v>0</v>
      </c>
      <c r="G72" s="262">
        <f t="shared" si="11"/>
        <v>0</v>
      </c>
      <c r="H72" s="262">
        <f t="shared" si="12"/>
        <v>0</v>
      </c>
    </row>
    <row r="73" spans="1:8">
      <c r="A73" s="74" t="str">
        <f t="shared" si="5"/>
        <v>Black Gram/Udid</v>
      </c>
      <c r="B73" s="262">
        <f t="shared" si="6"/>
        <v>358.15499999999997</v>
      </c>
      <c r="C73" s="262">
        <f t="shared" si="7"/>
        <v>417.84749999999997</v>
      </c>
      <c r="D73" s="262">
        <f t="shared" si="8"/>
        <v>477.53999999999991</v>
      </c>
      <c r="E73" s="262">
        <f t="shared" si="9"/>
        <v>537.23249999999996</v>
      </c>
      <c r="F73" s="262">
        <f t="shared" si="10"/>
        <v>596.92499999999995</v>
      </c>
      <c r="G73" s="262">
        <f t="shared" si="11"/>
        <v>656.61749999999995</v>
      </c>
      <c r="H73" s="262">
        <f t="shared" si="12"/>
        <v>716.31000000000006</v>
      </c>
    </row>
    <row r="74" spans="1:8">
      <c r="A74" s="74" t="str">
        <f t="shared" si="5"/>
        <v>Bajra</v>
      </c>
      <c r="B74" s="262">
        <f t="shared" si="6"/>
        <v>0</v>
      </c>
      <c r="C74" s="262">
        <f t="shared" si="7"/>
        <v>0</v>
      </c>
      <c r="D74" s="262">
        <f t="shared" si="8"/>
        <v>0</v>
      </c>
      <c r="E74" s="262">
        <f t="shared" si="9"/>
        <v>0</v>
      </c>
      <c r="F74" s="262">
        <f t="shared" si="10"/>
        <v>0</v>
      </c>
      <c r="G74" s="262">
        <f t="shared" si="11"/>
        <v>0</v>
      </c>
      <c r="H74" s="262">
        <f t="shared" si="12"/>
        <v>0</v>
      </c>
    </row>
    <row r="75" spans="1:8">
      <c r="A75" s="74" t="str">
        <f t="shared" si="5"/>
        <v>Jawar</v>
      </c>
      <c r="B75" s="262">
        <f t="shared" si="6"/>
        <v>0</v>
      </c>
      <c r="C75" s="262">
        <f t="shared" si="7"/>
        <v>0</v>
      </c>
      <c r="D75" s="262">
        <f t="shared" si="8"/>
        <v>0</v>
      </c>
      <c r="E75" s="262">
        <f t="shared" si="9"/>
        <v>0</v>
      </c>
      <c r="F75" s="262">
        <f t="shared" si="10"/>
        <v>0</v>
      </c>
      <c r="G75" s="262">
        <f t="shared" si="11"/>
        <v>0</v>
      </c>
      <c r="H75" s="262">
        <f t="shared" si="12"/>
        <v>0</v>
      </c>
    </row>
    <row r="76" spans="1:8">
      <c r="A76" s="74" t="str">
        <f t="shared" si="5"/>
        <v>Sunflower</v>
      </c>
      <c r="B76" s="262">
        <f t="shared" si="6"/>
        <v>0</v>
      </c>
      <c r="C76" s="262">
        <f t="shared" si="7"/>
        <v>0</v>
      </c>
      <c r="D76" s="262">
        <f t="shared" si="8"/>
        <v>0</v>
      </c>
      <c r="E76" s="262">
        <f t="shared" si="9"/>
        <v>0</v>
      </c>
      <c r="F76" s="262">
        <f t="shared" si="10"/>
        <v>0</v>
      </c>
      <c r="G76" s="262">
        <f t="shared" si="11"/>
        <v>0</v>
      </c>
      <c r="H76" s="262">
        <f t="shared" si="12"/>
        <v>0</v>
      </c>
    </row>
    <row r="77" spans="1:8">
      <c r="A77" s="74" t="str">
        <f t="shared" si="5"/>
        <v>Wheat</v>
      </c>
      <c r="B77" s="262">
        <f t="shared" si="6"/>
        <v>306.98999999999995</v>
      </c>
      <c r="C77" s="262">
        <f t="shared" si="7"/>
        <v>358.15499999999992</v>
      </c>
      <c r="D77" s="262">
        <f t="shared" si="8"/>
        <v>409.31999999999988</v>
      </c>
      <c r="E77" s="262">
        <f t="shared" si="9"/>
        <v>460.48499999999984</v>
      </c>
      <c r="F77" s="262">
        <f t="shared" si="10"/>
        <v>511.64999999999981</v>
      </c>
      <c r="G77" s="262">
        <f t="shared" si="11"/>
        <v>562.81499999999983</v>
      </c>
      <c r="H77" s="262">
        <f t="shared" si="12"/>
        <v>613.9799999999999</v>
      </c>
    </row>
    <row r="78" spans="1:8">
      <c r="A78" s="74" t="str">
        <f t="shared" si="5"/>
        <v>Bengal Gram/Channa</v>
      </c>
      <c r="B78" s="262">
        <f t="shared" si="6"/>
        <v>690.72750000000008</v>
      </c>
      <c r="C78" s="262">
        <f t="shared" si="7"/>
        <v>805.84875</v>
      </c>
      <c r="D78" s="262">
        <f t="shared" si="8"/>
        <v>920.97</v>
      </c>
      <c r="E78" s="262">
        <f t="shared" si="9"/>
        <v>1036.0912499999999</v>
      </c>
      <c r="F78" s="262">
        <f t="shared" si="10"/>
        <v>1151.2124999999999</v>
      </c>
      <c r="G78" s="262">
        <f t="shared" si="11"/>
        <v>1266.33375</v>
      </c>
      <c r="H78" s="262">
        <f t="shared" si="12"/>
        <v>1381.4550000000002</v>
      </c>
    </row>
    <row r="79" spans="1:8">
      <c r="A79" s="74" t="str">
        <f t="shared" si="5"/>
        <v>Jawar</v>
      </c>
      <c r="B79" s="262">
        <f t="shared" si="6"/>
        <v>0</v>
      </c>
      <c r="C79" s="262">
        <f t="shared" si="7"/>
        <v>0</v>
      </c>
      <c r="D79" s="262">
        <f t="shared" si="8"/>
        <v>0</v>
      </c>
      <c r="E79" s="262">
        <f t="shared" si="9"/>
        <v>0</v>
      </c>
      <c r="F79" s="262">
        <f t="shared" si="10"/>
        <v>0</v>
      </c>
      <c r="G79" s="262">
        <f t="shared" si="11"/>
        <v>0</v>
      </c>
      <c r="H79" s="262">
        <f t="shared" si="12"/>
        <v>0</v>
      </c>
    </row>
    <row r="80" spans="1:8">
      <c r="A80" s="74" t="str">
        <f t="shared" si="5"/>
        <v>Maize</v>
      </c>
      <c r="B80" s="262">
        <f t="shared" si="6"/>
        <v>0</v>
      </c>
      <c r="C80" s="262">
        <f t="shared" si="7"/>
        <v>0</v>
      </c>
      <c r="D80" s="262">
        <f t="shared" si="8"/>
        <v>0</v>
      </c>
      <c r="E80" s="262">
        <f t="shared" si="9"/>
        <v>0</v>
      </c>
      <c r="F80" s="262">
        <f t="shared" si="10"/>
        <v>0</v>
      </c>
      <c r="G80" s="262">
        <f t="shared" si="11"/>
        <v>0</v>
      </c>
      <c r="H80" s="262">
        <f t="shared" si="12"/>
        <v>0</v>
      </c>
    </row>
    <row r="81" spans="1:12">
      <c r="A81" s="74" t="str">
        <f t="shared" si="5"/>
        <v>Safflower</v>
      </c>
      <c r="B81" s="262">
        <f t="shared" si="6"/>
        <v>0</v>
      </c>
      <c r="C81" s="262">
        <f t="shared" si="7"/>
        <v>0</v>
      </c>
      <c r="D81" s="262">
        <f t="shared" si="8"/>
        <v>0</v>
      </c>
      <c r="E81" s="262">
        <f t="shared" si="9"/>
        <v>0</v>
      </c>
      <c r="F81" s="262">
        <f t="shared" si="10"/>
        <v>0</v>
      </c>
      <c r="G81" s="262">
        <f t="shared" si="11"/>
        <v>0</v>
      </c>
      <c r="H81" s="262">
        <f t="shared" si="12"/>
        <v>0</v>
      </c>
    </row>
    <row r="82" spans="1:12">
      <c r="A82" s="74" t="str">
        <f t="shared" si="5"/>
        <v>Groundnut</v>
      </c>
      <c r="B82" s="262">
        <f t="shared" si="6"/>
        <v>483.50924999999989</v>
      </c>
      <c r="C82" s="262">
        <f t="shared" si="7"/>
        <v>564.09412499999985</v>
      </c>
      <c r="D82" s="262">
        <f t="shared" si="8"/>
        <v>644.67899999999986</v>
      </c>
      <c r="E82" s="262">
        <f t="shared" si="9"/>
        <v>725.26387499999987</v>
      </c>
      <c r="F82" s="262">
        <f t="shared" si="10"/>
        <v>805.84874999999977</v>
      </c>
      <c r="G82" s="262">
        <f t="shared" si="11"/>
        <v>886.43362499999978</v>
      </c>
      <c r="H82" s="262">
        <f t="shared" si="12"/>
        <v>967.01849999999979</v>
      </c>
    </row>
    <row r="83" spans="1:12">
      <c r="A83" s="74">
        <f t="shared" si="5"/>
        <v>0</v>
      </c>
      <c r="B83" s="262">
        <f t="shared" si="6"/>
        <v>0</v>
      </c>
      <c r="C83" s="262">
        <f t="shared" si="7"/>
        <v>0</v>
      </c>
      <c r="D83" s="262">
        <f t="shared" si="8"/>
        <v>0</v>
      </c>
      <c r="E83" s="262">
        <f t="shared" si="9"/>
        <v>0</v>
      </c>
      <c r="F83" s="262">
        <f t="shared" si="10"/>
        <v>0</v>
      </c>
      <c r="G83" s="262">
        <f t="shared" si="11"/>
        <v>0</v>
      </c>
      <c r="H83" s="262">
        <f t="shared" si="12"/>
        <v>0</v>
      </c>
    </row>
    <row r="84" spans="1:12">
      <c r="A84" s="74">
        <f t="shared" si="5"/>
        <v>0</v>
      </c>
      <c r="B84" s="262">
        <f t="shared" si="6"/>
        <v>0</v>
      </c>
      <c r="C84" s="262">
        <f t="shared" ref="C84:H89" si="13">C27*$B$63</f>
        <v>0</v>
      </c>
      <c r="D84" s="262">
        <f t="shared" si="13"/>
        <v>0</v>
      </c>
      <c r="E84" s="262">
        <f t="shared" si="13"/>
        <v>0</v>
      </c>
      <c r="F84" s="262">
        <f t="shared" si="13"/>
        <v>0</v>
      </c>
      <c r="G84" s="262">
        <f t="shared" si="13"/>
        <v>0</v>
      </c>
      <c r="H84" s="262">
        <f t="shared" si="13"/>
        <v>0</v>
      </c>
    </row>
    <row r="85" spans="1:12">
      <c r="A85" s="74" t="str">
        <f t="shared" si="5"/>
        <v>Groundnut</v>
      </c>
      <c r="B85" s="262">
        <f t="shared" si="6"/>
        <v>73.677599999999998</v>
      </c>
      <c r="C85" s="262">
        <f t="shared" si="13"/>
        <v>85.9572</v>
      </c>
      <c r="D85" s="262">
        <f t="shared" si="13"/>
        <v>98.236800000000002</v>
      </c>
      <c r="E85" s="262">
        <f t="shared" si="13"/>
        <v>110.51639999999999</v>
      </c>
      <c r="F85" s="262">
        <f t="shared" si="13"/>
        <v>122.79599999999999</v>
      </c>
      <c r="G85" s="262">
        <f t="shared" si="13"/>
        <v>135.07559999999998</v>
      </c>
      <c r="H85" s="262">
        <f t="shared" si="13"/>
        <v>147.3552</v>
      </c>
    </row>
    <row r="86" spans="1:12">
      <c r="A86" s="74">
        <f t="shared" si="5"/>
        <v>0</v>
      </c>
      <c r="B86" s="262">
        <f t="shared" si="6"/>
        <v>0</v>
      </c>
      <c r="C86" s="262">
        <f t="shared" si="13"/>
        <v>0</v>
      </c>
      <c r="D86" s="262">
        <f t="shared" si="13"/>
        <v>0</v>
      </c>
      <c r="E86" s="262">
        <f t="shared" si="13"/>
        <v>0</v>
      </c>
      <c r="F86" s="262">
        <f t="shared" si="13"/>
        <v>0</v>
      </c>
      <c r="G86" s="262">
        <f t="shared" si="13"/>
        <v>0</v>
      </c>
      <c r="H86" s="262">
        <f t="shared" si="13"/>
        <v>0</v>
      </c>
    </row>
    <row r="87" spans="1:12">
      <c r="A87" s="74">
        <f t="shared" si="5"/>
        <v>0</v>
      </c>
      <c r="B87" s="262">
        <f t="shared" si="6"/>
        <v>0</v>
      </c>
      <c r="C87" s="262">
        <f t="shared" si="13"/>
        <v>0</v>
      </c>
      <c r="D87" s="262">
        <f t="shared" si="13"/>
        <v>0</v>
      </c>
      <c r="E87" s="262">
        <f t="shared" si="13"/>
        <v>0</v>
      </c>
      <c r="F87" s="262">
        <f t="shared" si="13"/>
        <v>0</v>
      </c>
      <c r="G87" s="262">
        <f t="shared" si="13"/>
        <v>0</v>
      </c>
      <c r="H87" s="262">
        <f t="shared" si="13"/>
        <v>0</v>
      </c>
    </row>
    <row r="88" spans="1:12">
      <c r="A88" s="74">
        <f t="shared" si="5"/>
        <v>0</v>
      </c>
      <c r="B88" s="262">
        <f t="shared" si="6"/>
        <v>0</v>
      </c>
      <c r="C88" s="262">
        <f t="shared" si="13"/>
        <v>0</v>
      </c>
      <c r="D88" s="262">
        <f t="shared" si="13"/>
        <v>0</v>
      </c>
      <c r="E88" s="262">
        <f t="shared" si="13"/>
        <v>0</v>
      </c>
      <c r="F88" s="262">
        <f t="shared" si="13"/>
        <v>0</v>
      </c>
      <c r="G88" s="262">
        <f t="shared" si="13"/>
        <v>0</v>
      </c>
      <c r="H88" s="262">
        <f t="shared" si="13"/>
        <v>0</v>
      </c>
    </row>
    <row r="89" spans="1:12">
      <c r="A89" s="74">
        <f t="shared" si="5"/>
        <v>0</v>
      </c>
      <c r="B89" s="262">
        <f t="shared" si="6"/>
        <v>0</v>
      </c>
      <c r="C89" s="262">
        <f t="shared" si="13"/>
        <v>0</v>
      </c>
      <c r="D89" s="262">
        <f t="shared" si="13"/>
        <v>0</v>
      </c>
      <c r="E89" s="262">
        <f t="shared" si="13"/>
        <v>0</v>
      </c>
      <c r="F89" s="262">
        <f t="shared" si="13"/>
        <v>0</v>
      </c>
      <c r="G89" s="262">
        <f t="shared" si="13"/>
        <v>0</v>
      </c>
      <c r="H89" s="262">
        <f t="shared" si="13"/>
        <v>0</v>
      </c>
    </row>
    <row r="90" spans="1:12">
      <c r="A90" s="74"/>
      <c r="B90" s="262"/>
      <c r="C90" s="262"/>
      <c r="D90" s="262"/>
      <c r="E90" s="262"/>
      <c r="F90" s="262"/>
      <c r="G90" s="262"/>
      <c r="H90" s="262"/>
      <c r="J90" s="13"/>
      <c r="K90" s="13"/>
      <c r="L90" s="13"/>
    </row>
    <row r="91" spans="1:12">
      <c r="A91" s="74" t="str">
        <f t="shared" ref="A91:A109" si="14">A34</f>
        <v>Fruit  &amp; Vegetables Crop Production Details</v>
      </c>
      <c r="B91" s="262"/>
      <c r="C91" s="262"/>
      <c r="D91" s="262"/>
      <c r="E91" s="262"/>
      <c r="F91" s="262"/>
      <c r="G91" s="262"/>
      <c r="H91" s="262"/>
      <c r="J91" s="13"/>
      <c r="K91" s="13"/>
      <c r="L91" s="13"/>
    </row>
    <row r="92" spans="1:12">
      <c r="A92" s="74" t="str">
        <f t="shared" si="14"/>
        <v>Onion</v>
      </c>
      <c r="B92" s="262">
        <f t="shared" ref="B92:H101" si="15">B35</f>
        <v>0</v>
      </c>
      <c r="C92" s="262">
        <f t="shared" si="15"/>
        <v>0</v>
      </c>
      <c r="D92" s="262">
        <f t="shared" si="15"/>
        <v>0</v>
      </c>
      <c r="E92" s="262">
        <f t="shared" si="15"/>
        <v>0</v>
      </c>
      <c r="F92" s="262">
        <f t="shared" si="15"/>
        <v>0</v>
      </c>
      <c r="G92" s="262">
        <f t="shared" si="15"/>
        <v>0</v>
      </c>
      <c r="H92" s="262">
        <f t="shared" si="15"/>
        <v>0</v>
      </c>
      <c r="J92" s="13"/>
      <c r="K92" s="13"/>
      <c r="L92" s="13"/>
    </row>
    <row r="93" spans="1:12">
      <c r="A93" s="74" t="str">
        <f t="shared" si="14"/>
        <v>Tomato</v>
      </c>
      <c r="B93" s="262">
        <f t="shared" si="15"/>
        <v>0</v>
      </c>
      <c r="C93" s="262">
        <f t="shared" si="15"/>
        <v>0</v>
      </c>
      <c r="D93" s="262">
        <f t="shared" si="15"/>
        <v>0</v>
      </c>
      <c r="E93" s="262">
        <f t="shared" si="15"/>
        <v>0</v>
      </c>
      <c r="F93" s="262">
        <f t="shared" si="15"/>
        <v>0</v>
      </c>
      <c r="G93" s="262">
        <f t="shared" si="15"/>
        <v>0</v>
      </c>
      <c r="H93" s="262">
        <f t="shared" si="15"/>
        <v>0</v>
      </c>
      <c r="J93" s="13"/>
      <c r="K93" s="13"/>
      <c r="L93" s="13"/>
    </row>
    <row r="94" spans="1:12">
      <c r="A94" s="74" t="str">
        <f t="shared" si="14"/>
        <v>Okra</v>
      </c>
      <c r="B94" s="262">
        <f t="shared" si="15"/>
        <v>0</v>
      </c>
      <c r="C94" s="262">
        <f t="shared" si="15"/>
        <v>0</v>
      </c>
      <c r="D94" s="262">
        <f t="shared" si="15"/>
        <v>0</v>
      </c>
      <c r="E94" s="262">
        <f t="shared" si="15"/>
        <v>0</v>
      </c>
      <c r="F94" s="262">
        <f t="shared" si="15"/>
        <v>0</v>
      </c>
      <c r="G94" s="262">
        <f t="shared" si="15"/>
        <v>0</v>
      </c>
      <c r="H94" s="262">
        <f t="shared" si="15"/>
        <v>0</v>
      </c>
      <c r="J94" s="13"/>
      <c r="K94" s="13"/>
      <c r="L94" s="13"/>
    </row>
    <row r="95" spans="1:12">
      <c r="A95" s="74" t="str">
        <f t="shared" si="14"/>
        <v>Chilli</v>
      </c>
      <c r="B95" s="262">
        <f t="shared" si="15"/>
        <v>0</v>
      </c>
      <c r="C95" s="262">
        <f t="shared" si="15"/>
        <v>0</v>
      </c>
      <c r="D95" s="262">
        <f t="shared" si="15"/>
        <v>0</v>
      </c>
      <c r="E95" s="262">
        <f t="shared" si="15"/>
        <v>0</v>
      </c>
      <c r="F95" s="262">
        <f t="shared" si="15"/>
        <v>0</v>
      </c>
      <c r="G95" s="262">
        <f t="shared" si="15"/>
        <v>0</v>
      </c>
      <c r="H95" s="262">
        <f t="shared" si="15"/>
        <v>0</v>
      </c>
      <c r="J95" s="13"/>
      <c r="K95" s="13"/>
      <c r="L95" s="13"/>
    </row>
    <row r="96" spans="1:12">
      <c r="A96" s="74" t="str">
        <f t="shared" si="14"/>
        <v>Potato</v>
      </c>
      <c r="B96" s="262">
        <f t="shared" si="15"/>
        <v>0</v>
      </c>
      <c r="C96" s="262">
        <f t="shared" si="15"/>
        <v>0</v>
      </c>
      <c r="D96" s="262">
        <f t="shared" si="15"/>
        <v>0</v>
      </c>
      <c r="E96" s="262">
        <f t="shared" si="15"/>
        <v>0</v>
      </c>
      <c r="F96" s="262">
        <f t="shared" si="15"/>
        <v>0</v>
      </c>
      <c r="G96" s="262">
        <f t="shared" si="15"/>
        <v>0</v>
      </c>
      <c r="H96" s="262">
        <f t="shared" si="15"/>
        <v>0</v>
      </c>
      <c r="J96" s="13"/>
      <c r="K96" s="13"/>
      <c r="L96" s="13"/>
    </row>
    <row r="97" spans="1:12">
      <c r="A97" s="74">
        <f t="shared" si="14"/>
        <v>0</v>
      </c>
      <c r="B97" s="262">
        <f t="shared" si="15"/>
        <v>0</v>
      </c>
      <c r="C97" s="262">
        <f t="shared" si="15"/>
        <v>0</v>
      </c>
      <c r="D97" s="262">
        <f t="shared" si="15"/>
        <v>0</v>
      </c>
      <c r="E97" s="262">
        <f t="shared" si="15"/>
        <v>0</v>
      </c>
      <c r="F97" s="262">
        <f t="shared" si="15"/>
        <v>0</v>
      </c>
      <c r="G97" s="262">
        <f t="shared" si="15"/>
        <v>0</v>
      </c>
      <c r="H97" s="262">
        <f t="shared" si="15"/>
        <v>0</v>
      </c>
      <c r="J97" s="13"/>
      <c r="K97" s="13"/>
      <c r="L97" s="13"/>
    </row>
    <row r="98" spans="1:12">
      <c r="A98" s="74">
        <f t="shared" si="14"/>
        <v>0</v>
      </c>
      <c r="B98" s="262">
        <f t="shared" si="15"/>
        <v>0</v>
      </c>
      <c r="C98" s="262">
        <f t="shared" si="15"/>
        <v>0</v>
      </c>
      <c r="D98" s="262">
        <f t="shared" si="15"/>
        <v>0</v>
      </c>
      <c r="E98" s="262">
        <f t="shared" si="15"/>
        <v>0</v>
      </c>
      <c r="F98" s="262">
        <f t="shared" si="15"/>
        <v>0</v>
      </c>
      <c r="G98" s="262">
        <f t="shared" si="15"/>
        <v>0</v>
      </c>
      <c r="H98" s="262">
        <f t="shared" si="15"/>
        <v>0</v>
      </c>
      <c r="J98" s="13"/>
      <c r="K98" s="13"/>
      <c r="L98" s="13"/>
    </row>
    <row r="99" spans="1:12">
      <c r="A99" s="74">
        <f t="shared" si="14"/>
        <v>0</v>
      </c>
      <c r="B99" s="262">
        <f t="shared" si="15"/>
        <v>0</v>
      </c>
      <c r="C99" s="262">
        <f t="shared" si="15"/>
        <v>0</v>
      </c>
      <c r="D99" s="262">
        <f t="shared" si="15"/>
        <v>0</v>
      </c>
      <c r="E99" s="262">
        <f t="shared" si="15"/>
        <v>0</v>
      </c>
      <c r="F99" s="262">
        <f t="shared" si="15"/>
        <v>0</v>
      </c>
      <c r="G99" s="262">
        <f t="shared" si="15"/>
        <v>0</v>
      </c>
      <c r="H99" s="262">
        <f t="shared" si="15"/>
        <v>0</v>
      </c>
      <c r="J99" s="13"/>
      <c r="K99" s="13"/>
      <c r="L99" s="13"/>
    </row>
    <row r="100" spans="1:12">
      <c r="A100" s="74">
        <f t="shared" si="14"/>
        <v>0</v>
      </c>
      <c r="B100" s="262">
        <f t="shared" si="15"/>
        <v>0</v>
      </c>
      <c r="C100" s="262">
        <f t="shared" si="15"/>
        <v>0</v>
      </c>
      <c r="D100" s="262">
        <f t="shared" si="15"/>
        <v>0</v>
      </c>
      <c r="E100" s="262">
        <f t="shared" si="15"/>
        <v>0</v>
      </c>
      <c r="F100" s="262">
        <f t="shared" si="15"/>
        <v>0</v>
      </c>
      <c r="G100" s="262">
        <f t="shared" si="15"/>
        <v>0</v>
      </c>
      <c r="H100" s="262">
        <f t="shared" si="15"/>
        <v>0</v>
      </c>
      <c r="J100" s="13"/>
      <c r="K100" s="13"/>
      <c r="L100" s="13"/>
    </row>
    <row r="101" spans="1:12">
      <c r="A101" s="74" t="str">
        <f t="shared" si="14"/>
        <v>Onion</v>
      </c>
      <c r="B101" s="262">
        <f t="shared" si="15"/>
        <v>0</v>
      </c>
      <c r="C101" s="262">
        <f t="shared" si="15"/>
        <v>0</v>
      </c>
      <c r="D101" s="262">
        <f t="shared" si="15"/>
        <v>0</v>
      </c>
      <c r="E101" s="262">
        <f t="shared" si="15"/>
        <v>0</v>
      </c>
      <c r="F101" s="262">
        <f t="shared" si="15"/>
        <v>0</v>
      </c>
      <c r="G101" s="262">
        <f t="shared" si="15"/>
        <v>0</v>
      </c>
      <c r="H101" s="262">
        <f t="shared" si="15"/>
        <v>0</v>
      </c>
      <c r="J101" s="13"/>
      <c r="K101" s="13"/>
      <c r="L101" s="13"/>
    </row>
    <row r="102" spans="1:12">
      <c r="A102" s="74" t="str">
        <f t="shared" si="14"/>
        <v>Tomato</v>
      </c>
      <c r="B102" s="262">
        <f t="shared" ref="B102:H109" si="16">B45</f>
        <v>0</v>
      </c>
      <c r="C102" s="262">
        <f t="shared" si="16"/>
        <v>0</v>
      </c>
      <c r="D102" s="262">
        <f t="shared" si="16"/>
        <v>0</v>
      </c>
      <c r="E102" s="262">
        <f t="shared" si="16"/>
        <v>0</v>
      </c>
      <c r="F102" s="262">
        <f t="shared" si="16"/>
        <v>0</v>
      </c>
      <c r="G102" s="262">
        <f t="shared" si="16"/>
        <v>0</v>
      </c>
      <c r="H102" s="262">
        <f t="shared" si="16"/>
        <v>0</v>
      </c>
      <c r="J102" s="13"/>
      <c r="K102" s="13"/>
      <c r="L102" s="13"/>
    </row>
    <row r="103" spans="1:12">
      <c r="A103" s="74" t="str">
        <f t="shared" si="14"/>
        <v>Okra</v>
      </c>
      <c r="B103" s="262">
        <f t="shared" si="16"/>
        <v>0</v>
      </c>
      <c r="C103" s="262">
        <f t="shared" si="16"/>
        <v>0</v>
      </c>
      <c r="D103" s="262">
        <f t="shared" si="16"/>
        <v>0</v>
      </c>
      <c r="E103" s="262">
        <f t="shared" si="16"/>
        <v>0</v>
      </c>
      <c r="F103" s="262">
        <f t="shared" si="16"/>
        <v>0</v>
      </c>
      <c r="G103" s="262">
        <f t="shared" si="16"/>
        <v>0</v>
      </c>
      <c r="H103" s="262">
        <f t="shared" si="16"/>
        <v>0</v>
      </c>
      <c r="J103" s="13"/>
      <c r="K103" s="13"/>
      <c r="L103" s="13"/>
    </row>
    <row r="104" spans="1:12">
      <c r="A104" s="74" t="str">
        <f t="shared" si="14"/>
        <v>Chilli</v>
      </c>
      <c r="B104" s="262">
        <f t="shared" si="16"/>
        <v>0</v>
      </c>
      <c r="C104" s="262">
        <f t="shared" si="16"/>
        <v>0</v>
      </c>
      <c r="D104" s="262">
        <f t="shared" si="16"/>
        <v>0</v>
      </c>
      <c r="E104" s="262">
        <f t="shared" si="16"/>
        <v>0</v>
      </c>
      <c r="F104" s="262">
        <f t="shared" si="16"/>
        <v>0</v>
      </c>
      <c r="G104" s="262">
        <f t="shared" si="16"/>
        <v>0</v>
      </c>
      <c r="H104" s="262">
        <f t="shared" si="16"/>
        <v>0</v>
      </c>
      <c r="J104" s="13"/>
      <c r="K104" s="13"/>
      <c r="L104" s="13"/>
    </row>
    <row r="105" spans="1:12">
      <c r="A105" s="74" t="str">
        <f t="shared" si="14"/>
        <v>Brinjal</v>
      </c>
      <c r="B105" s="262">
        <f t="shared" si="16"/>
        <v>0</v>
      </c>
      <c r="C105" s="262">
        <f t="shared" si="16"/>
        <v>0</v>
      </c>
      <c r="D105" s="262">
        <f t="shared" si="16"/>
        <v>0</v>
      </c>
      <c r="E105" s="262">
        <f t="shared" si="16"/>
        <v>0</v>
      </c>
      <c r="F105" s="262">
        <f t="shared" si="16"/>
        <v>0</v>
      </c>
      <c r="G105" s="262">
        <f t="shared" si="16"/>
        <v>0</v>
      </c>
      <c r="H105" s="262">
        <f t="shared" si="16"/>
        <v>0</v>
      </c>
      <c r="J105" s="13"/>
      <c r="K105" s="13"/>
      <c r="L105" s="13"/>
    </row>
    <row r="106" spans="1:12">
      <c r="A106" s="74">
        <f t="shared" si="14"/>
        <v>0</v>
      </c>
      <c r="B106" s="262">
        <f t="shared" si="16"/>
        <v>0</v>
      </c>
      <c r="C106" s="262">
        <f t="shared" si="16"/>
        <v>0</v>
      </c>
      <c r="D106" s="262">
        <f t="shared" si="16"/>
        <v>0</v>
      </c>
      <c r="E106" s="262">
        <f t="shared" si="16"/>
        <v>0</v>
      </c>
      <c r="F106" s="262">
        <f t="shared" si="16"/>
        <v>0</v>
      </c>
      <c r="G106" s="262">
        <f t="shared" si="16"/>
        <v>0</v>
      </c>
      <c r="H106" s="262">
        <f t="shared" si="16"/>
        <v>0</v>
      </c>
      <c r="J106" s="13"/>
      <c r="K106" s="13"/>
      <c r="L106" s="13"/>
    </row>
    <row r="107" spans="1:12">
      <c r="A107" s="74">
        <f t="shared" si="14"/>
        <v>0</v>
      </c>
      <c r="B107" s="262">
        <f t="shared" si="16"/>
        <v>0</v>
      </c>
      <c r="C107" s="262">
        <f t="shared" si="16"/>
        <v>0</v>
      </c>
      <c r="D107" s="262">
        <f t="shared" si="16"/>
        <v>0</v>
      </c>
      <c r="E107" s="262">
        <f t="shared" si="16"/>
        <v>0</v>
      </c>
      <c r="F107" s="262">
        <f t="shared" si="16"/>
        <v>0</v>
      </c>
      <c r="G107" s="262">
        <f t="shared" si="16"/>
        <v>0</v>
      </c>
      <c r="H107" s="262">
        <f t="shared" si="16"/>
        <v>0</v>
      </c>
      <c r="J107" s="13"/>
      <c r="K107" s="13"/>
      <c r="L107" s="13"/>
    </row>
    <row r="108" spans="1:12">
      <c r="A108" s="74">
        <f t="shared" si="14"/>
        <v>0</v>
      </c>
      <c r="B108" s="262">
        <f t="shared" si="16"/>
        <v>0</v>
      </c>
      <c r="C108" s="262">
        <f t="shared" si="16"/>
        <v>0</v>
      </c>
      <c r="D108" s="262">
        <f t="shared" si="16"/>
        <v>0</v>
      </c>
      <c r="E108" s="262">
        <f t="shared" si="16"/>
        <v>0</v>
      </c>
      <c r="F108" s="262">
        <f t="shared" si="16"/>
        <v>0</v>
      </c>
      <c r="G108" s="262">
        <f t="shared" si="16"/>
        <v>0</v>
      </c>
      <c r="H108" s="262">
        <f t="shared" si="16"/>
        <v>0</v>
      </c>
      <c r="J108" s="13"/>
      <c r="K108" s="13"/>
      <c r="L108" s="13"/>
    </row>
    <row r="109" spans="1:12">
      <c r="A109" s="74">
        <f t="shared" si="14"/>
        <v>0</v>
      </c>
      <c r="B109" s="262">
        <f t="shared" si="16"/>
        <v>0</v>
      </c>
      <c r="C109" s="262">
        <f t="shared" si="16"/>
        <v>0</v>
      </c>
      <c r="D109" s="262">
        <f t="shared" si="16"/>
        <v>0</v>
      </c>
      <c r="E109" s="262">
        <f t="shared" si="16"/>
        <v>0</v>
      </c>
      <c r="F109" s="262">
        <f t="shared" si="16"/>
        <v>0</v>
      </c>
      <c r="G109" s="262">
        <f t="shared" si="16"/>
        <v>0</v>
      </c>
      <c r="H109" s="262">
        <f t="shared" si="16"/>
        <v>0</v>
      </c>
      <c r="J109" s="13"/>
      <c r="K109" s="13"/>
      <c r="L109" s="13"/>
    </row>
    <row r="110" spans="1:12">
      <c r="A110" s="74">
        <f t="shared" ref="A110:A113" si="17">A53</f>
        <v>0</v>
      </c>
      <c r="B110" s="262"/>
      <c r="C110" s="262"/>
      <c r="D110" s="262"/>
      <c r="E110" s="262"/>
      <c r="F110" s="262"/>
      <c r="G110" s="262"/>
      <c r="H110" s="262"/>
      <c r="J110" s="13"/>
      <c r="K110" s="13"/>
      <c r="L110" s="13"/>
    </row>
    <row r="111" spans="1:12">
      <c r="A111" s="74">
        <f t="shared" si="17"/>
        <v>0</v>
      </c>
      <c r="B111" s="262"/>
      <c r="C111" s="262"/>
      <c r="D111" s="262"/>
      <c r="E111" s="262"/>
      <c r="F111" s="262"/>
      <c r="G111" s="262"/>
      <c r="H111" s="262"/>
      <c r="J111" s="13"/>
      <c r="K111" s="13"/>
      <c r="L111" s="13"/>
    </row>
    <row r="112" spans="1:12">
      <c r="A112" s="74">
        <f t="shared" si="17"/>
        <v>0</v>
      </c>
      <c r="B112" s="262"/>
      <c r="C112" s="262"/>
      <c r="D112" s="262"/>
      <c r="E112" s="262"/>
      <c r="F112" s="262"/>
      <c r="G112" s="262"/>
      <c r="H112" s="262"/>
      <c r="J112" s="13"/>
      <c r="K112" s="13"/>
      <c r="L112" s="13"/>
    </row>
    <row r="113" spans="1:12">
      <c r="A113" s="74" t="str">
        <f t="shared" si="17"/>
        <v>Pomegranate</v>
      </c>
      <c r="B113" s="262">
        <f t="shared" ref="B113:H116" si="18">B56</f>
        <v>0</v>
      </c>
      <c r="C113" s="262">
        <f t="shared" si="18"/>
        <v>0</v>
      </c>
      <c r="D113" s="262">
        <f t="shared" si="18"/>
        <v>0</v>
      </c>
      <c r="E113" s="262">
        <f t="shared" si="18"/>
        <v>0</v>
      </c>
      <c r="F113" s="262">
        <f t="shared" si="18"/>
        <v>0</v>
      </c>
      <c r="G113" s="262">
        <f t="shared" si="18"/>
        <v>0</v>
      </c>
      <c r="H113" s="262">
        <f t="shared" si="18"/>
        <v>0</v>
      </c>
      <c r="J113" s="13"/>
      <c r="K113" s="13"/>
      <c r="L113" s="13"/>
    </row>
    <row r="114" spans="1:12">
      <c r="A114" s="74" t="str">
        <f>A57</f>
        <v>Custard Apple</v>
      </c>
      <c r="B114" s="262">
        <f t="shared" si="18"/>
        <v>0</v>
      </c>
      <c r="C114" s="262">
        <f t="shared" si="18"/>
        <v>0</v>
      </c>
      <c r="D114" s="262">
        <f t="shared" si="18"/>
        <v>0</v>
      </c>
      <c r="E114" s="262">
        <f t="shared" si="18"/>
        <v>0</v>
      </c>
      <c r="F114" s="262">
        <f t="shared" si="18"/>
        <v>0</v>
      </c>
      <c r="G114" s="262">
        <f t="shared" si="18"/>
        <v>0</v>
      </c>
      <c r="H114" s="262">
        <f t="shared" si="18"/>
        <v>0</v>
      </c>
      <c r="J114" s="13"/>
      <c r="K114" s="13"/>
      <c r="L114" s="13"/>
    </row>
    <row r="115" spans="1:12">
      <c r="A115" s="74" t="str">
        <f>A58</f>
        <v>Guava</v>
      </c>
      <c r="B115" s="262">
        <f t="shared" si="18"/>
        <v>0</v>
      </c>
      <c r="C115" s="262">
        <f t="shared" si="18"/>
        <v>0</v>
      </c>
      <c r="D115" s="262">
        <f t="shared" si="18"/>
        <v>0</v>
      </c>
      <c r="E115" s="262">
        <f t="shared" si="18"/>
        <v>0</v>
      </c>
      <c r="F115" s="262">
        <f t="shared" si="18"/>
        <v>0</v>
      </c>
      <c r="G115" s="262">
        <f t="shared" si="18"/>
        <v>0</v>
      </c>
      <c r="H115" s="262">
        <f t="shared" si="18"/>
        <v>0</v>
      </c>
      <c r="J115" s="13"/>
      <c r="K115" s="13"/>
      <c r="L115" s="13"/>
    </row>
    <row r="116" spans="1:12">
      <c r="A116" s="74" t="str">
        <f>A59</f>
        <v>Citrus</v>
      </c>
      <c r="B116" s="262">
        <f t="shared" si="18"/>
        <v>0</v>
      </c>
      <c r="C116" s="262">
        <f t="shared" si="18"/>
        <v>0</v>
      </c>
      <c r="D116" s="262">
        <f t="shared" si="18"/>
        <v>0</v>
      </c>
      <c r="E116" s="262">
        <f t="shared" si="18"/>
        <v>0</v>
      </c>
      <c r="F116" s="262">
        <f t="shared" si="18"/>
        <v>0</v>
      </c>
      <c r="G116" s="262">
        <f t="shared" si="18"/>
        <v>0</v>
      </c>
      <c r="H116" s="262">
        <f t="shared" si="18"/>
        <v>0</v>
      </c>
      <c r="J116" s="13"/>
      <c r="K116" s="13"/>
      <c r="L116" s="13"/>
    </row>
    <row r="117" spans="1:12">
      <c r="A117" s="74"/>
      <c r="B117" s="262"/>
      <c r="C117" s="262"/>
      <c r="D117" s="262"/>
      <c r="E117" s="262"/>
      <c r="F117" s="262"/>
      <c r="G117" s="262"/>
      <c r="H117" s="262"/>
      <c r="J117" s="13"/>
      <c r="K117" s="13"/>
      <c r="L117" s="13"/>
    </row>
    <row r="118" spans="1:12">
      <c r="A118" s="74"/>
      <c r="B118" s="262"/>
      <c r="C118" s="262"/>
      <c r="D118" s="262"/>
      <c r="E118" s="262"/>
      <c r="F118" s="262"/>
      <c r="G118" s="262"/>
      <c r="H118" s="262"/>
      <c r="J118" s="13"/>
      <c r="K118" s="13"/>
      <c r="L118" s="13"/>
    </row>
    <row r="119" spans="1:12">
      <c r="A119" s="76" t="s">
        <v>139</v>
      </c>
      <c r="B119" s="74"/>
      <c r="C119" s="74"/>
      <c r="D119" s="74"/>
      <c r="E119" s="74"/>
      <c r="F119" s="74"/>
      <c r="G119" s="74"/>
      <c r="H119" s="74"/>
    </row>
    <row r="120" spans="1:12">
      <c r="A120" s="74" t="str">
        <f t="shared" ref="A120:A141" si="19">A68</f>
        <v>Soybean</v>
      </c>
      <c r="B120" s="162">
        <f t="shared" ref="B120:H129" si="20">B68-(B68*$G$6)</f>
        <v>0</v>
      </c>
      <c r="C120" s="162">
        <f t="shared" si="20"/>
        <v>0</v>
      </c>
      <c r="D120" s="162">
        <f t="shared" si="20"/>
        <v>0</v>
      </c>
      <c r="E120" s="162">
        <f t="shared" si="20"/>
        <v>0</v>
      </c>
      <c r="F120" s="162">
        <f t="shared" si="20"/>
        <v>0</v>
      </c>
      <c r="G120" s="162">
        <f t="shared" si="20"/>
        <v>0</v>
      </c>
      <c r="H120" s="162">
        <f t="shared" si="20"/>
        <v>0</v>
      </c>
    </row>
    <row r="121" spans="1:12">
      <c r="A121" s="74" t="str">
        <f t="shared" si="19"/>
        <v>Red Gram/Tur</v>
      </c>
      <c r="B121" s="162">
        <f t="shared" si="20"/>
        <v>1257.2946000000002</v>
      </c>
      <c r="C121" s="162">
        <f t="shared" si="20"/>
        <v>1466.8437000000001</v>
      </c>
      <c r="D121" s="162">
        <f t="shared" si="20"/>
        <v>1676.3928000000001</v>
      </c>
      <c r="E121" s="162">
        <f t="shared" si="20"/>
        <v>1885.9419</v>
      </c>
      <c r="F121" s="162">
        <f t="shared" si="20"/>
        <v>2095.4909999999995</v>
      </c>
      <c r="G121" s="162">
        <f t="shared" si="20"/>
        <v>2305.0401000000002</v>
      </c>
      <c r="H121" s="162">
        <f t="shared" si="20"/>
        <v>2514.5892000000003</v>
      </c>
    </row>
    <row r="122" spans="1:12">
      <c r="A122" s="74" t="str">
        <f t="shared" si="19"/>
        <v>Paddy/Rice</v>
      </c>
      <c r="B122" s="162">
        <f t="shared" si="20"/>
        <v>0</v>
      </c>
      <c r="C122" s="162">
        <f t="shared" si="20"/>
        <v>0</v>
      </c>
      <c r="D122" s="162">
        <f t="shared" si="20"/>
        <v>0</v>
      </c>
      <c r="E122" s="162">
        <f t="shared" si="20"/>
        <v>0</v>
      </c>
      <c r="F122" s="162">
        <f t="shared" si="20"/>
        <v>0</v>
      </c>
      <c r="G122" s="162">
        <f t="shared" si="20"/>
        <v>0</v>
      </c>
      <c r="H122" s="162">
        <f t="shared" si="20"/>
        <v>0</v>
      </c>
    </row>
    <row r="123" spans="1:12">
      <c r="A123" s="74" t="str">
        <f t="shared" si="19"/>
        <v>Green Gram/ Moong</v>
      </c>
      <c r="B123" s="162">
        <f t="shared" si="20"/>
        <v>680.92428599999994</v>
      </c>
      <c r="C123" s="162">
        <f t="shared" si="20"/>
        <v>794.41166699999997</v>
      </c>
      <c r="D123" s="162">
        <f t="shared" si="20"/>
        <v>907.89904799999988</v>
      </c>
      <c r="E123" s="162">
        <f t="shared" si="20"/>
        <v>1021.3864289999999</v>
      </c>
      <c r="F123" s="162">
        <f t="shared" si="20"/>
        <v>1134.87381</v>
      </c>
      <c r="G123" s="162">
        <f t="shared" si="20"/>
        <v>1248.361191</v>
      </c>
      <c r="H123" s="162">
        <f t="shared" si="20"/>
        <v>1361.8485720000001</v>
      </c>
    </row>
    <row r="124" spans="1:12">
      <c r="A124" s="74" t="str">
        <f t="shared" si="19"/>
        <v>Maize</v>
      </c>
      <c r="B124" s="162">
        <f t="shared" si="20"/>
        <v>0</v>
      </c>
      <c r="C124" s="162">
        <f t="shared" si="20"/>
        <v>0</v>
      </c>
      <c r="D124" s="162">
        <f t="shared" si="20"/>
        <v>0</v>
      </c>
      <c r="E124" s="162">
        <f t="shared" si="20"/>
        <v>0</v>
      </c>
      <c r="F124" s="162">
        <f t="shared" si="20"/>
        <v>0</v>
      </c>
      <c r="G124" s="162">
        <f t="shared" si="20"/>
        <v>0</v>
      </c>
      <c r="H124" s="162">
        <f t="shared" si="20"/>
        <v>0</v>
      </c>
    </row>
    <row r="125" spans="1:12">
      <c r="A125" s="74" t="str">
        <f t="shared" si="19"/>
        <v>Black Gram/Udid</v>
      </c>
      <c r="B125" s="162">
        <f t="shared" si="20"/>
        <v>347.41034999999999</v>
      </c>
      <c r="C125" s="162">
        <f t="shared" si="20"/>
        <v>405.31207499999999</v>
      </c>
      <c r="D125" s="162">
        <f t="shared" si="20"/>
        <v>463.21379999999994</v>
      </c>
      <c r="E125" s="162">
        <f t="shared" si="20"/>
        <v>521.11552499999993</v>
      </c>
      <c r="F125" s="162">
        <f t="shared" si="20"/>
        <v>579.01724999999999</v>
      </c>
      <c r="G125" s="162">
        <f t="shared" si="20"/>
        <v>636.91897499999993</v>
      </c>
      <c r="H125" s="162">
        <f t="shared" si="20"/>
        <v>694.8207000000001</v>
      </c>
    </row>
    <row r="126" spans="1:12">
      <c r="A126" s="74" t="str">
        <f t="shared" si="19"/>
        <v>Bajra</v>
      </c>
      <c r="B126" s="162">
        <f t="shared" si="20"/>
        <v>0</v>
      </c>
      <c r="C126" s="162">
        <f t="shared" si="20"/>
        <v>0</v>
      </c>
      <c r="D126" s="162">
        <f t="shared" si="20"/>
        <v>0</v>
      </c>
      <c r="E126" s="162">
        <f t="shared" si="20"/>
        <v>0</v>
      </c>
      <c r="F126" s="162">
        <f t="shared" si="20"/>
        <v>0</v>
      </c>
      <c r="G126" s="162">
        <f t="shared" si="20"/>
        <v>0</v>
      </c>
      <c r="H126" s="162">
        <f t="shared" si="20"/>
        <v>0</v>
      </c>
    </row>
    <row r="127" spans="1:12">
      <c r="A127" s="74" t="str">
        <f t="shared" si="19"/>
        <v>Jawar</v>
      </c>
      <c r="B127" s="162">
        <f t="shared" si="20"/>
        <v>0</v>
      </c>
      <c r="C127" s="162">
        <f t="shared" si="20"/>
        <v>0</v>
      </c>
      <c r="D127" s="162">
        <f t="shared" si="20"/>
        <v>0</v>
      </c>
      <c r="E127" s="162">
        <f t="shared" si="20"/>
        <v>0</v>
      </c>
      <c r="F127" s="162">
        <f t="shared" si="20"/>
        <v>0</v>
      </c>
      <c r="G127" s="162">
        <f t="shared" si="20"/>
        <v>0</v>
      </c>
      <c r="H127" s="162">
        <f t="shared" si="20"/>
        <v>0</v>
      </c>
    </row>
    <row r="128" spans="1:12">
      <c r="A128" s="74" t="str">
        <f t="shared" si="19"/>
        <v>Sunflower</v>
      </c>
      <c r="B128" s="162">
        <f t="shared" si="20"/>
        <v>0</v>
      </c>
      <c r="C128" s="162">
        <f t="shared" si="20"/>
        <v>0</v>
      </c>
      <c r="D128" s="162">
        <f t="shared" si="20"/>
        <v>0</v>
      </c>
      <c r="E128" s="162">
        <f t="shared" si="20"/>
        <v>0</v>
      </c>
      <c r="F128" s="162">
        <f t="shared" si="20"/>
        <v>0</v>
      </c>
      <c r="G128" s="162">
        <f t="shared" si="20"/>
        <v>0</v>
      </c>
      <c r="H128" s="162">
        <f t="shared" si="20"/>
        <v>0</v>
      </c>
    </row>
    <row r="129" spans="1:8">
      <c r="A129" s="74" t="str">
        <f t="shared" si="19"/>
        <v>Wheat</v>
      </c>
      <c r="B129" s="162">
        <f t="shared" si="20"/>
        <v>297.78029999999995</v>
      </c>
      <c r="C129" s="162">
        <f t="shared" si="20"/>
        <v>347.41034999999994</v>
      </c>
      <c r="D129" s="162">
        <f t="shared" si="20"/>
        <v>397.04039999999986</v>
      </c>
      <c r="E129" s="162">
        <f t="shared" si="20"/>
        <v>446.67044999999985</v>
      </c>
      <c r="F129" s="162">
        <f t="shared" si="20"/>
        <v>496.30049999999983</v>
      </c>
      <c r="G129" s="162">
        <f t="shared" si="20"/>
        <v>545.93054999999981</v>
      </c>
      <c r="H129" s="162">
        <f t="shared" si="20"/>
        <v>595.56059999999991</v>
      </c>
    </row>
    <row r="130" spans="1:8">
      <c r="A130" s="74" t="str">
        <f t="shared" si="19"/>
        <v>Bengal Gram/Channa</v>
      </c>
      <c r="B130" s="162">
        <f t="shared" ref="B130:H139" si="21">B78-(B78*$G$6)</f>
        <v>670.00567500000011</v>
      </c>
      <c r="C130" s="162">
        <f t="shared" si="21"/>
        <v>781.67328750000001</v>
      </c>
      <c r="D130" s="162">
        <f t="shared" si="21"/>
        <v>893.34090000000003</v>
      </c>
      <c r="E130" s="162">
        <f t="shared" si="21"/>
        <v>1005.0085124999999</v>
      </c>
      <c r="F130" s="162">
        <f t="shared" si="21"/>
        <v>1116.676125</v>
      </c>
      <c r="G130" s="162">
        <f t="shared" si="21"/>
        <v>1228.3437375000001</v>
      </c>
      <c r="H130" s="162">
        <f t="shared" si="21"/>
        <v>1340.0113500000002</v>
      </c>
    </row>
    <row r="131" spans="1:8">
      <c r="A131" s="74" t="str">
        <f t="shared" si="19"/>
        <v>Jawar</v>
      </c>
      <c r="B131" s="162">
        <f t="shared" si="21"/>
        <v>0</v>
      </c>
      <c r="C131" s="162">
        <f t="shared" si="21"/>
        <v>0</v>
      </c>
      <c r="D131" s="162">
        <f t="shared" si="21"/>
        <v>0</v>
      </c>
      <c r="E131" s="162">
        <f t="shared" si="21"/>
        <v>0</v>
      </c>
      <c r="F131" s="162">
        <f t="shared" si="21"/>
        <v>0</v>
      </c>
      <c r="G131" s="162">
        <f t="shared" si="21"/>
        <v>0</v>
      </c>
      <c r="H131" s="162">
        <f t="shared" si="21"/>
        <v>0</v>
      </c>
    </row>
    <row r="132" spans="1:8">
      <c r="A132" s="74" t="str">
        <f t="shared" si="19"/>
        <v>Maize</v>
      </c>
      <c r="B132" s="162">
        <f t="shared" si="21"/>
        <v>0</v>
      </c>
      <c r="C132" s="162">
        <f t="shared" si="21"/>
        <v>0</v>
      </c>
      <c r="D132" s="162">
        <f t="shared" si="21"/>
        <v>0</v>
      </c>
      <c r="E132" s="162">
        <f t="shared" si="21"/>
        <v>0</v>
      </c>
      <c r="F132" s="162">
        <f t="shared" si="21"/>
        <v>0</v>
      </c>
      <c r="G132" s="162">
        <f t="shared" si="21"/>
        <v>0</v>
      </c>
      <c r="H132" s="162">
        <f t="shared" si="21"/>
        <v>0</v>
      </c>
    </row>
    <row r="133" spans="1:8">
      <c r="A133" s="74" t="str">
        <f t="shared" si="19"/>
        <v>Safflower</v>
      </c>
      <c r="B133" s="162">
        <f t="shared" si="21"/>
        <v>0</v>
      </c>
      <c r="C133" s="162">
        <f t="shared" si="21"/>
        <v>0</v>
      </c>
      <c r="D133" s="162">
        <f t="shared" si="21"/>
        <v>0</v>
      </c>
      <c r="E133" s="162">
        <f t="shared" si="21"/>
        <v>0</v>
      </c>
      <c r="F133" s="162">
        <f t="shared" si="21"/>
        <v>0</v>
      </c>
      <c r="G133" s="162">
        <f t="shared" si="21"/>
        <v>0</v>
      </c>
      <c r="H133" s="162">
        <f t="shared" si="21"/>
        <v>0</v>
      </c>
    </row>
    <row r="134" spans="1:8">
      <c r="A134" s="74" t="str">
        <f t="shared" si="19"/>
        <v>Groundnut</v>
      </c>
      <c r="B134" s="162">
        <f t="shared" si="21"/>
        <v>469.00397249999992</v>
      </c>
      <c r="C134" s="162">
        <f t="shared" si="21"/>
        <v>547.17130124999983</v>
      </c>
      <c r="D134" s="162">
        <f t="shared" si="21"/>
        <v>625.33862999999985</v>
      </c>
      <c r="E134" s="162">
        <f t="shared" si="21"/>
        <v>703.50595874999988</v>
      </c>
      <c r="F134" s="162">
        <f t="shared" si="21"/>
        <v>781.67328749999979</v>
      </c>
      <c r="G134" s="162">
        <f t="shared" si="21"/>
        <v>859.84061624999981</v>
      </c>
      <c r="H134" s="162">
        <f t="shared" si="21"/>
        <v>938.00794499999984</v>
      </c>
    </row>
    <row r="135" spans="1:8">
      <c r="A135" s="74">
        <f t="shared" si="19"/>
        <v>0</v>
      </c>
      <c r="B135" s="162">
        <f t="shared" si="21"/>
        <v>0</v>
      </c>
      <c r="C135" s="162">
        <f t="shared" si="21"/>
        <v>0</v>
      </c>
      <c r="D135" s="162">
        <f t="shared" si="21"/>
        <v>0</v>
      </c>
      <c r="E135" s="162">
        <f t="shared" si="21"/>
        <v>0</v>
      </c>
      <c r="F135" s="162">
        <f t="shared" si="21"/>
        <v>0</v>
      </c>
      <c r="G135" s="162">
        <f t="shared" si="21"/>
        <v>0</v>
      </c>
      <c r="H135" s="162">
        <f t="shared" si="21"/>
        <v>0</v>
      </c>
    </row>
    <row r="136" spans="1:8">
      <c r="A136" s="74">
        <f t="shared" si="19"/>
        <v>0</v>
      </c>
      <c r="B136" s="162">
        <f t="shared" si="21"/>
        <v>0</v>
      </c>
      <c r="C136" s="162">
        <f t="shared" si="21"/>
        <v>0</v>
      </c>
      <c r="D136" s="162">
        <f t="shared" si="21"/>
        <v>0</v>
      </c>
      <c r="E136" s="162">
        <f t="shared" si="21"/>
        <v>0</v>
      </c>
      <c r="F136" s="162">
        <f t="shared" si="21"/>
        <v>0</v>
      </c>
      <c r="G136" s="162">
        <f t="shared" si="21"/>
        <v>0</v>
      </c>
      <c r="H136" s="162">
        <f t="shared" si="21"/>
        <v>0</v>
      </c>
    </row>
    <row r="137" spans="1:8">
      <c r="A137" s="74" t="str">
        <f t="shared" si="19"/>
        <v>Groundnut</v>
      </c>
      <c r="B137" s="162">
        <f t="shared" si="21"/>
        <v>71.467271999999994</v>
      </c>
      <c r="C137" s="162">
        <f t="shared" si="21"/>
        <v>83.378484</v>
      </c>
      <c r="D137" s="162">
        <f t="shared" si="21"/>
        <v>95.289696000000006</v>
      </c>
      <c r="E137" s="162">
        <f t="shared" si="21"/>
        <v>107.20090799999998</v>
      </c>
      <c r="F137" s="162">
        <f t="shared" si="21"/>
        <v>119.11211999999999</v>
      </c>
      <c r="G137" s="162">
        <f t="shared" si="21"/>
        <v>131.02333199999998</v>
      </c>
      <c r="H137" s="162">
        <f t="shared" si="21"/>
        <v>142.93454399999999</v>
      </c>
    </row>
    <row r="138" spans="1:8">
      <c r="A138" s="74">
        <f t="shared" si="19"/>
        <v>0</v>
      </c>
      <c r="B138" s="162">
        <f t="shared" si="21"/>
        <v>0</v>
      </c>
      <c r="C138" s="162">
        <f t="shared" si="21"/>
        <v>0</v>
      </c>
      <c r="D138" s="162">
        <f t="shared" si="21"/>
        <v>0</v>
      </c>
      <c r="E138" s="162">
        <f t="shared" si="21"/>
        <v>0</v>
      </c>
      <c r="F138" s="162">
        <f t="shared" si="21"/>
        <v>0</v>
      </c>
      <c r="G138" s="162">
        <f t="shared" si="21"/>
        <v>0</v>
      </c>
      <c r="H138" s="162">
        <f t="shared" si="21"/>
        <v>0</v>
      </c>
    </row>
    <row r="139" spans="1:8">
      <c r="A139" s="74">
        <f t="shared" si="19"/>
        <v>0</v>
      </c>
      <c r="B139" s="162">
        <f t="shared" si="21"/>
        <v>0</v>
      </c>
      <c r="C139" s="162">
        <f t="shared" si="21"/>
        <v>0</v>
      </c>
      <c r="D139" s="162">
        <f t="shared" si="21"/>
        <v>0</v>
      </c>
      <c r="E139" s="162">
        <f t="shared" si="21"/>
        <v>0</v>
      </c>
      <c r="F139" s="162">
        <f t="shared" si="21"/>
        <v>0</v>
      </c>
      <c r="G139" s="162">
        <f t="shared" si="21"/>
        <v>0</v>
      </c>
      <c r="H139" s="162">
        <f t="shared" si="21"/>
        <v>0</v>
      </c>
    </row>
    <row r="140" spans="1:8">
      <c r="A140" s="74">
        <f t="shared" si="19"/>
        <v>0</v>
      </c>
      <c r="B140" s="162">
        <f t="shared" ref="B140:H141" si="22">B88-(B88*$G$6)</f>
        <v>0</v>
      </c>
      <c r="C140" s="162">
        <f t="shared" si="22"/>
        <v>0</v>
      </c>
      <c r="D140" s="162">
        <f t="shared" si="22"/>
        <v>0</v>
      </c>
      <c r="E140" s="162">
        <f t="shared" si="22"/>
        <v>0</v>
      </c>
      <c r="F140" s="162">
        <f t="shared" si="22"/>
        <v>0</v>
      </c>
      <c r="G140" s="162">
        <f t="shared" si="22"/>
        <v>0</v>
      </c>
      <c r="H140" s="162">
        <f t="shared" si="22"/>
        <v>0</v>
      </c>
    </row>
    <row r="141" spans="1:8">
      <c r="A141" s="74">
        <f t="shared" si="19"/>
        <v>0</v>
      </c>
      <c r="B141" s="162">
        <f t="shared" si="22"/>
        <v>0</v>
      </c>
      <c r="C141" s="162">
        <f t="shared" si="22"/>
        <v>0</v>
      </c>
      <c r="D141" s="162">
        <f t="shared" si="22"/>
        <v>0</v>
      </c>
      <c r="E141" s="162">
        <f t="shared" si="22"/>
        <v>0</v>
      </c>
      <c r="F141" s="162">
        <f t="shared" si="22"/>
        <v>0</v>
      </c>
      <c r="G141" s="162">
        <f t="shared" si="22"/>
        <v>0</v>
      </c>
      <c r="H141" s="162">
        <f t="shared" si="22"/>
        <v>0</v>
      </c>
    </row>
    <row r="142" spans="1:8">
      <c r="A142" s="74"/>
      <c r="B142" s="162"/>
      <c r="C142" s="162"/>
      <c r="D142" s="162"/>
      <c r="E142" s="162"/>
      <c r="F142" s="162"/>
      <c r="G142" s="162"/>
      <c r="H142" s="162"/>
    </row>
    <row r="143" spans="1:8">
      <c r="A143" s="76" t="str">
        <f t="shared" ref="A143:A161" si="23">A91</f>
        <v>Fruit  &amp; Vegetables Crop Production Details</v>
      </c>
      <c r="B143" s="162"/>
      <c r="C143" s="162"/>
      <c r="D143" s="162"/>
      <c r="E143" s="162"/>
      <c r="F143" s="162"/>
      <c r="G143" s="162"/>
      <c r="H143" s="162"/>
    </row>
    <row r="144" spans="1:8">
      <c r="A144" s="74" t="str">
        <f t="shared" si="23"/>
        <v>Onion</v>
      </c>
      <c r="B144" s="162">
        <f t="shared" ref="B144:H153" si="24">B92-(B92*$G$7)</f>
        <v>0</v>
      </c>
      <c r="C144" s="162">
        <f t="shared" si="24"/>
        <v>0</v>
      </c>
      <c r="D144" s="162">
        <f t="shared" si="24"/>
        <v>0</v>
      </c>
      <c r="E144" s="162">
        <f t="shared" si="24"/>
        <v>0</v>
      </c>
      <c r="F144" s="162">
        <f t="shared" si="24"/>
        <v>0</v>
      </c>
      <c r="G144" s="162">
        <f t="shared" si="24"/>
        <v>0</v>
      </c>
      <c r="H144" s="162">
        <f t="shared" si="24"/>
        <v>0</v>
      </c>
    </row>
    <row r="145" spans="1:8">
      <c r="A145" s="74" t="str">
        <f t="shared" si="23"/>
        <v>Tomato</v>
      </c>
      <c r="B145" s="162">
        <f t="shared" si="24"/>
        <v>0</v>
      </c>
      <c r="C145" s="162">
        <f t="shared" si="24"/>
        <v>0</v>
      </c>
      <c r="D145" s="162">
        <f t="shared" si="24"/>
        <v>0</v>
      </c>
      <c r="E145" s="162">
        <f t="shared" si="24"/>
        <v>0</v>
      </c>
      <c r="F145" s="162">
        <f t="shared" si="24"/>
        <v>0</v>
      </c>
      <c r="G145" s="162">
        <f t="shared" si="24"/>
        <v>0</v>
      </c>
      <c r="H145" s="162">
        <f t="shared" si="24"/>
        <v>0</v>
      </c>
    </row>
    <row r="146" spans="1:8">
      <c r="A146" s="74" t="str">
        <f t="shared" si="23"/>
        <v>Okra</v>
      </c>
      <c r="B146" s="162">
        <f t="shared" si="24"/>
        <v>0</v>
      </c>
      <c r="C146" s="162">
        <f t="shared" si="24"/>
        <v>0</v>
      </c>
      <c r="D146" s="162">
        <f t="shared" si="24"/>
        <v>0</v>
      </c>
      <c r="E146" s="162">
        <f t="shared" si="24"/>
        <v>0</v>
      </c>
      <c r="F146" s="162">
        <f t="shared" si="24"/>
        <v>0</v>
      </c>
      <c r="G146" s="162">
        <f t="shared" si="24"/>
        <v>0</v>
      </c>
      <c r="H146" s="162">
        <f t="shared" si="24"/>
        <v>0</v>
      </c>
    </row>
    <row r="147" spans="1:8">
      <c r="A147" s="74" t="str">
        <f t="shared" si="23"/>
        <v>Chilli</v>
      </c>
      <c r="B147" s="162">
        <f t="shared" si="24"/>
        <v>0</v>
      </c>
      <c r="C147" s="162">
        <f t="shared" si="24"/>
        <v>0</v>
      </c>
      <c r="D147" s="162">
        <f t="shared" si="24"/>
        <v>0</v>
      </c>
      <c r="E147" s="162">
        <f t="shared" si="24"/>
        <v>0</v>
      </c>
      <c r="F147" s="162">
        <f t="shared" si="24"/>
        <v>0</v>
      </c>
      <c r="G147" s="162">
        <f t="shared" si="24"/>
        <v>0</v>
      </c>
      <c r="H147" s="162">
        <f t="shared" si="24"/>
        <v>0</v>
      </c>
    </row>
    <row r="148" spans="1:8">
      <c r="A148" s="74" t="str">
        <f t="shared" si="23"/>
        <v>Potato</v>
      </c>
      <c r="B148" s="162">
        <f t="shared" si="24"/>
        <v>0</v>
      </c>
      <c r="C148" s="162">
        <f t="shared" si="24"/>
        <v>0</v>
      </c>
      <c r="D148" s="162">
        <f t="shared" si="24"/>
        <v>0</v>
      </c>
      <c r="E148" s="162">
        <f t="shared" si="24"/>
        <v>0</v>
      </c>
      <c r="F148" s="162">
        <f t="shared" si="24"/>
        <v>0</v>
      </c>
      <c r="G148" s="162">
        <f t="shared" si="24"/>
        <v>0</v>
      </c>
      <c r="H148" s="162">
        <f t="shared" si="24"/>
        <v>0</v>
      </c>
    </row>
    <row r="149" spans="1:8">
      <c r="A149" s="74">
        <f t="shared" si="23"/>
        <v>0</v>
      </c>
      <c r="B149" s="162">
        <f t="shared" si="24"/>
        <v>0</v>
      </c>
      <c r="C149" s="162">
        <f t="shared" si="24"/>
        <v>0</v>
      </c>
      <c r="D149" s="162">
        <f t="shared" si="24"/>
        <v>0</v>
      </c>
      <c r="E149" s="162">
        <f t="shared" si="24"/>
        <v>0</v>
      </c>
      <c r="F149" s="162">
        <f t="shared" si="24"/>
        <v>0</v>
      </c>
      <c r="G149" s="162">
        <f t="shared" si="24"/>
        <v>0</v>
      </c>
      <c r="H149" s="162">
        <f t="shared" si="24"/>
        <v>0</v>
      </c>
    </row>
    <row r="150" spans="1:8">
      <c r="A150" s="74">
        <f t="shared" si="23"/>
        <v>0</v>
      </c>
      <c r="B150" s="162">
        <f t="shared" si="24"/>
        <v>0</v>
      </c>
      <c r="C150" s="162">
        <f t="shared" si="24"/>
        <v>0</v>
      </c>
      <c r="D150" s="162">
        <f t="shared" si="24"/>
        <v>0</v>
      </c>
      <c r="E150" s="162">
        <f t="shared" si="24"/>
        <v>0</v>
      </c>
      <c r="F150" s="162">
        <f t="shared" si="24"/>
        <v>0</v>
      </c>
      <c r="G150" s="162">
        <f t="shared" si="24"/>
        <v>0</v>
      </c>
      <c r="H150" s="162">
        <f t="shared" si="24"/>
        <v>0</v>
      </c>
    </row>
    <row r="151" spans="1:8">
      <c r="A151" s="74">
        <f t="shared" si="23"/>
        <v>0</v>
      </c>
      <c r="B151" s="162">
        <f t="shared" si="24"/>
        <v>0</v>
      </c>
      <c r="C151" s="162">
        <f t="shared" si="24"/>
        <v>0</v>
      </c>
      <c r="D151" s="162">
        <f t="shared" si="24"/>
        <v>0</v>
      </c>
      <c r="E151" s="162">
        <f t="shared" si="24"/>
        <v>0</v>
      </c>
      <c r="F151" s="162">
        <f t="shared" si="24"/>
        <v>0</v>
      </c>
      <c r="G151" s="162">
        <f t="shared" si="24"/>
        <v>0</v>
      </c>
      <c r="H151" s="162">
        <f t="shared" si="24"/>
        <v>0</v>
      </c>
    </row>
    <row r="152" spans="1:8">
      <c r="A152" s="74">
        <f t="shared" si="23"/>
        <v>0</v>
      </c>
      <c r="B152" s="162">
        <f t="shared" si="24"/>
        <v>0</v>
      </c>
      <c r="C152" s="162">
        <f t="shared" si="24"/>
        <v>0</v>
      </c>
      <c r="D152" s="162">
        <f t="shared" si="24"/>
        <v>0</v>
      </c>
      <c r="E152" s="162">
        <f t="shared" si="24"/>
        <v>0</v>
      </c>
      <c r="F152" s="162">
        <f t="shared" si="24"/>
        <v>0</v>
      </c>
      <c r="G152" s="162">
        <f t="shared" si="24"/>
        <v>0</v>
      </c>
      <c r="H152" s="162">
        <f t="shared" si="24"/>
        <v>0</v>
      </c>
    </row>
    <row r="153" spans="1:8">
      <c r="A153" s="74" t="str">
        <f t="shared" si="23"/>
        <v>Onion</v>
      </c>
      <c r="B153" s="162">
        <f t="shared" si="24"/>
        <v>0</v>
      </c>
      <c r="C153" s="162">
        <f t="shared" si="24"/>
        <v>0</v>
      </c>
      <c r="D153" s="162">
        <f t="shared" si="24"/>
        <v>0</v>
      </c>
      <c r="E153" s="162">
        <f t="shared" si="24"/>
        <v>0</v>
      </c>
      <c r="F153" s="162">
        <f t="shared" si="24"/>
        <v>0</v>
      </c>
      <c r="G153" s="162">
        <f t="shared" si="24"/>
        <v>0</v>
      </c>
      <c r="H153" s="162">
        <f t="shared" si="24"/>
        <v>0</v>
      </c>
    </row>
    <row r="154" spans="1:8">
      <c r="A154" s="74" t="str">
        <f t="shared" si="23"/>
        <v>Tomato</v>
      </c>
      <c r="B154" s="162">
        <f t="shared" ref="B154:H161" si="25">B102-(B102*$G$7)</f>
        <v>0</v>
      </c>
      <c r="C154" s="162">
        <f t="shared" si="25"/>
        <v>0</v>
      </c>
      <c r="D154" s="162">
        <f t="shared" si="25"/>
        <v>0</v>
      </c>
      <c r="E154" s="162">
        <f t="shared" si="25"/>
        <v>0</v>
      </c>
      <c r="F154" s="162">
        <f t="shared" si="25"/>
        <v>0</v>
      </c>
      <c r="G154" s="162">
        <f t="shared" si="25"/>
        <v>0</v>
      </c>
      <c r="H154" s="162">
        <f t="shared" si="25"/>
        <v>0</v>
      </c>
    </row>
    <row r="155" spans="1:8">
      <c r="A155" s="74" t="str">
        <f t="shared" si="23"/>
        <v>Okra</v>
      </c>
      <c r="B155" s="162">
        <f t="shared" si="25"/>
        <v>0</v>
      </c>
      <c r="C155" s="162">
        <f t="shared" si="25"/>
        <v>0</v>
      </c>
      <c r="D155" s="162">
        <f t="shared" si="25"/>
        <v>0</v>
      </c>
      <c r="E155" s="162">
        <f t="shared" si="25"/>
        <v>0</v>
      </c>
      <c r="F155" s="162">
        <f t="shared" si="25"/>
        <v>0</v>
      </c>
      <c r="G155" s="162">
        <f t="shared" si="25"/>
        <v>0</v>
      </c>
      <c r="H155" s="162">
        <f t="shared" si="25"/>
        <v>0</v>
      </c>
    </row>
    <row r="156" spans="1:8">
      <c r="A156" s="74" t="str">
        <f t="shared" si="23"/>
        <v>Chilli</v>
      </c>
      <c r="B156" s="162">
        <f t="shared" si="25"/>
        <v>0</v>
      </c>
      <c r="C156" s="162">
        <f t="shared" si="25"/>
        <v>0</v>
      </c>
      <c r="D156" s="162">
        <f t="shared" si="25"/>
        <v>0</v>
      </c>
      <c r="E156" s="162">
        <f t="shared" si="25"/>
        <v>0</v>
      </c>
      <c r="F156" s="162">
        <f t="shared" si="25"/>
        <v>0</v>
      </c>
      <c r="G156" s="162">
        <f t="shared" si="25"/>
        <v>0</v>
      </c>
      <c r="H156" s="162">
        <f t="shared" si="25"/>
        <v>0</v>
      </c>
    </row>
    <row r="157" spans="1:8">
      <c r="A157" s="74" t="str">
        <f t="shared" si="23"/>
        <v>Brinjal</v>
      </c>
      <c r="B157" s="162">
        <f t="shared" si="25"/>
        <v>0</v>
      </c>
      <c r="C157" s="162">
        <f t="shared" si="25"/>
        <v>0</v>
      </c>
      <c r="D157" s="162">
        <f t="shared" si="25"/>
        <v>0</v>
      </c>
      <c r="E157" s="162">
        <f t="shared" si="25"/>
        <v>0</v>
      </c>
      <c r="F157" s="162">
        <f t="shared" si="25"/>
        <v>0</v>
      </c>
      <c r="G157" s="162">
        <f t="shared" si="25"/>
        <v>0</v>
      </c>
      <c r="H157" s="162">
        <f t="shared" si="25"/>
        <v>0</v>
      </c>
    </row>
    <row r="158" spans="1:8">
      <c r="A158" s="74">
        <f t="shared" si="23"/>
        <v>0</v>
      </c>
      <c r="B158" s="162">
        <f t="shared" si="25"/>
        <v>0</v>
      </c>
      <c r="C158" s="162">
        <f t="shared" si="25"/>
        <v>0</v>
      </c>
      <c r="D158" s="162">
        <f t="shared" si="25"/>
        <v>0</v>
      </c>
      <c r="E158" s="162">
        <f t="shared" si="25"/>
        <v>0</v>
      </c>
      <c r="F158" s="162">
        <f t="shared" si="25"/>
        <v>0</v>
      </c>
      <c r="G158" s="162">
        <f t="shared" si="25"/>
        <v>0</v>
      </c>
      <c r="H158" s="162">
        <f t="shared" si="25"/>
        <v>0</v>
      </c>
    </row>
    <row r="159" spans="1:8">
      <c r="A159" s="74">
        <f t="shared" si="23"/>
        <v>0</v>
      </c>
      <c r="B159" s="162">
        <f t="shared" si="25"/>
        <v>0</v>
      </c>
      <c r="C159" s="162">
        <f t="shared" si="25"/>
        <v>0</v>
      </c>
      <c r="D159" s="162">
        <f t="shared" si="25"/>
        <v>0</v>
      </c>
      <c r="E159" s="162">
        <f t="shared" si="25"/>
        <v>0</v>
      </c>
      <c r="F159" s="162">
        <f t="shared" si="25"/>
        <v>0</v>
      </c>
      <c r="G159" s="162">
        <f t="shared" si="25"/>
        <v>0</v>
      </c>
      <c r="H159" s="162">
        <f t="shared" si="25"/>
        <v>0</v>
      </c>
    </row>
    <row r="160" spans="1:8">
      <c r="A160" s="74">
        <f t="shared" si="23"/>
        <v>0</v>
      </c>
      <c r="B160" s="162">
        <f t="shared" si="25"/>
        <v>0</v>
      </c>
      <c r="C160" s="162">
        <f t="shared" si="25"/>
        <v>0</v>
      </c>
      <c r="D160" s="162">
        <f t="shared" si="25"/>
        <v>0</v>
      </c>
      <c r="E160" s="162">
        <f t="shared" si="25"/>
        <v>0</v>
      </c>
      <c r="F160" s="162">
        <f t="shared" si="25"/>
        <v>0</v>
      </c>
      <c r="G160" s="162">
        <f t="shared" si="25"/>
        <v>0</v>
      </c>
      <c r="H160" s="162">
        <f t="shared" si="25"/>
        <v>0</v>
      </c>
    </row>
    <row r="161" spans="1:20">
      <c r="A161" s="74">
        <f t="shared" si="23"/>
        <v>0</v>
      </c>
      <c r="B161" s="162">
        <f t="shared" si="25"/>
        <v>0</v>
      </c>
      <c r="C161" s="162">
        <f t="shared" si="25"/>
        <v>0</v>
      </c>
      <c r="D161" s="162">
        <f t="shared" si="25"/>
        <v>0</v>
      </c>
      <c r="E161" s="162">
        <f t="shared" si="25"/>
        <v>0</v>
      </c>
      <c r="F161" s="162">
        <f t="shared" si="25"/>
        <v>0</v>
      </c>
      <c r="G161" s="162">
        <f t="shared" si="25"/>
        <v>0</v>
      </c>
      <c r="H161" s="162">
        <f t="shared" si="25"/>
        <v>0</v>
      </c>
    </row>
    <row r="162" spans="1:20">
      <c r="A162" s="74">
        <f t="shared" ref="A162:A165" si="26">A110</f>
        <v>0</v>
      </c>
      <c r="B162" s="162">
        <f t="shared" ref="B162:H162" si="27">B110-(B110*$G$7)</f>
        <v>0</v>
      </c>
      <c r="C162" s="162">
        <f t="shared" si="27"/>
        <v>0</v>
      </c>
      <c r="D162" s="162">
        <f t="shared" si="27"/>
        <v>0</v>
      </c>
      <c r="E162" s="162">
        <f t="shared" si="27"/>
        <v>0</v>
      </c>
      <c r="F162" s="162">
        <f t="shared" si="27"/>
        <v>0</v>
      </c>
      <c r="G162" s="162">
        <f t="shared" si="27"/>
        <v>0</v>
      </c>
      <c r="H162" s="162">
        <f t="shared" si="27"/>
        <v>0</v>
      </c>
    </row>
    <row r="163" spans="1:20">
      <c r="A163" s="74">
        <f t="shared" si="26"/>
        <v>0</v>
      </c>
      <c r="B163" s="162">
        <f t="shared" ref="B163:H163" si="28">B111-(B111*$G$7)</f>
        <v>0</v>
      </c>
      <c r="C163" s="162">
        <f t="shared" si="28"/>
        <v>0</v>
      </c>
      <c r="D163" s="162">
        <f t="shared" si="28"/>
        <v>0</v>
      </c>
      <c r="E163" s="162">
        <f t="shared" si="28"/>
        <v>0</v>
      </c>
      <c r="F163" s="162">
        <f t="shared" si="28"/>
        <v>0</v>
      </c>
      <c r="G163" s="162">
        <f t="shared" si="28"/>
        <v>0</v>
      </c>
      <c r="H163" s="162">
        <f t="shared" si="28"/>
        <v>0</v>
      </c>
    </row>
    <row r="164" spans="1:20">
      <c r="A164" s="74">
        <f t="shared" si="26"/>
        <v>0</v>
      </c>
      <c r="B164" s="162">
        <f t="shared" ref="B164:H165" si="29">B112-(B112*$G$7)</f>
        <v>0</v>
      </c>
      <c r="C164" s="162">
        <f t="shared" si="29"/>
        <v>0</v>
      </c>
      <c r="D164" s="162">
        <f t="shared" si="29"/>
        <v>0</v>
      </c>
      <c r="E164" s="162">
        <f t="shared" si="29"/>
        <v>0</v>
      </c>
      <c r="F164" s="162">
        <f t="shared" si="29"/>
        <v>0</v>
      </c>
      <c r="G164" s="162">
        <f t="shared" si="29"/>
        <v>0</v>
      </c>
      <c r="H164" s="162">
        <f t="shared" si="29"/>
        <v>0</v>
      </c>
    </row>
    <row r="165" spans="1:20">
      <c r="A165" s="74" t="str">
        <f t="shared" si="26"/>
        <v>Pomegranate</v>
      </c>
      <c r="B165" s="162">
        <f t="shared" si="29"/>
        <v>0</v>
      </c>
      <c r="C165" s="162">
        <f t="shared" ref="C165:H168" si="30">C113-(C113*$G$7)</f>
        <v>0</v>
      </c>
      <c r="D165" s="162">
        <f t="shared" si="30"/>
        <v>0</v>
      </c>
      <c r="E165" s="162">
        <f t="shared" si="30"/>
        <v>0</v>
      </c>
      <c r="F165" s="162">
        <f t="shared" si="30"/>
        <v>0</v>
      </c>
      <c r="G165" s="162">
        <f t="shared" si="30"/>
        <v>0</v>
      </c>
      <c r="H165" s="162">
        <f t="shared" si="30"/>
        <v>0</v>
      </c>
    </row>
    <row r="166" spans="1:20">
      <c r="A166" s="74" t="str">
        <f>A114</f>
        <v>Custard Apple</v>
      </c>
      <c r="B166" s="162">
        <f>B114-(B114*$G$7)</f>
        <v>0</v>
      </c>
      <c r="C166" s="162">
        <f t="shared" si="30"/>
        <v>0</v>
      </c>
      <c r="D166" s="162">
        <f t="shared" si="30"/>
        <v>0</v>
      </c>
      <c r="E166" s="162">
        <f t="shared" si="30"/>
        <v>0</v>
      </c>
      <c r="F166" s="162">
        <f t="shared" si="30"/>
        <v>0</v>
      </c>
      <c r="G166" s="162">
        <f t="shared" si="30"/>
        <v>0</v>
      </c>
      <c r="H166" s="162">
        <f t="shared" si="30"/>
        <v>0</v>
      </c>
    </row>
    <row r="167" spans="1:20">
      <c r="A167" s="74" t="str">
        <f>A115</f>
        <v>Guava</v>
      </c>
      <c r="B167" s="162">
        <f>B115-(B115*$G$7)</f>
        <v>0</v>
      </c>
      <c r="C167" s="162">
        <f t="shared" si="30"/>
        <v>0</v>
      </c>
      <c r="D167" s="162">
        <f t="shared" si="30"/>
        <v>0</v>
      </c>
      <c r="E167" s="162">
        <f t="shared" si="30"/>
        <v>0</v>
      </c>
      <c r="F167" s="162">
        <f t="shared" si="30"/>
        <v>0</v>
      </c>
      <c r="G167" s="162">
        <f t="shared" si="30"/>
        <v>0</v>
      </c>
      <c r="H167" s="162">
        <f t="shared" si="30"/>
        <v>0</v>
      </c>
    </row>
    <row r="168" spans="1:20">
      <c r="A168" s="74" t="str">
        <f>A116</f>
        <v>Citrus</v>
      </c>
      <c r="B168" s="162">
        <f>B116-(B116*$G$7)</f>
        <v>0</v>
      </c>
      <c r="C168" s="162">
        <f t="shared" si="30"/>
        <v>0</v>
      </c>
      <c r="D168" s="162">
        <f t="shared" si="30"/>
        <v>0</v>
      </c>
      <c r="E168" s="162">
        <f t="shared" si="30"/>
        <v>0</v>
      </c>
      <c r="F168" s="162">
        <f t="shared" si="30"/>
        <v>0</v>
      </c>
      <c r="G168" s="162">
        <f t="shared" si="30"/>
        <v>0</v>
      </c>
      <c r="H168" s="162">
        <f t="shared" si="30"/>
        <v>0</v>
      </c>
    </row>
    <row r="169" spans="1:20">
      <c r="A169" s="73"/>
    </row>
    <row r="170" spans="1:20" ht="18.75">
      <c r="A170" s="368" t="s">
        <v>585</v>
      </c>
      <c r="B170" s="368"/>
      <c r="C170" s="368"/>
      <c r="D170" s="368"/>
      <c r="E170" s="368"/>
      <c r="F170" s="368"/>
      <c r="G170" s="368"/>
      <c r="H170" s="368"/>
      <c r="I170" s="368"/>
      <c r="J170" s="368"/>
    </row>
    <row r="171" spans="1:20">
      <c r="A171" s="12"/>
      <c r="B171" s="12"/>
      <c r="C171" s="12"/>
      <c r="D171" s="12"/>
      <c r="E171" s="12"/>
      <c r="F171" s="12"/>
      <c r="G171" s="12"/>
      <c r="H171" s="12"/>
    </row>
    <row r="172" spans="1:20">
      <c r="A172" s="163"/>
      <c r="B172" s="163"/>
      <c r="C172" s="163"/>
      <c r="D172" s="164">
        <v>0.9</v>
      </c>
      <c r="E172" s="165">
        <v>0.95</v>
      </c>
      <c r="F172" s="165">
        <v>1</v>
      </c>
      <c r="G172" s="165">
        <v>1</v>
      </c>
      <c r="H172" s="165">
        <v>1</v>
      </c>
      <c r="I172" s="165">
        <v>1</v>
      </c>
      <c r="J172" s="165">
        <v>1</v>
      </c>
      <c r="K172" s="73"/>
      <c r="L172" s="73"/>
      <c r="M172" s="73"/>
      <c r="N172" s="73"/>
      <c r="O172" s="73"/>
      <c r="P172" s="73"/>
      <c r="Q172" s="73"/>
      <c r="R172" s="73"/>
      <c r="S172" s="73"/>
      <c r="T172" s="73"/>
    </row>
    <row r="173" spans="1:20">
      <c r="A173" s="73"/>
      <c r="B173" s="73"/>
      <c r="C173" s="73"/>
      <c r="D173" s="73"/>
      <c r="E173" s="73"/>
      <c r="F173" s="73"/>
      <c r="G173" s="73"/>
      <c r="H173" s="73"/>
      <c r="I173" s="73"/>
      <c r="J173" s="73"/>
      <c r="K173" s="73"/>
      <c r="L173" s="73"/>
      <c r="M173" s="73"/>
      <c r="N173" s="73"/>
      <c r="O173" s="73"/>
      <c r="P173" s="73"/>
      <c r="Q173" s="73"/>
      <c r="R173" s="73"/>
      <c r="S173" s="73"/>
      <c r="T173" s="73"/>
    </row>
    <row r="174" spans="1:20">
      <c r="A174" s="73"/>
      <c r="B174" s="73"/>
      <c r="C174" s="73"/>
      <c r="D174" s="155"/>
      <c r="E174" s="155"/>
      <c r="F174" s="155"/>
      <c r="G174" s="155"/>
      <c r="H174" s="155"/>
      <c r="I174" s="155"/>
      <c r="J174" s="155"/>
      <c r="K174" s="73"/>
      <c r="L174" s="73"/>
    </row>
    <row r="175" spans="1:20">
      <c r="A175" s="65" t="s">
        <v>0</v>
      </c>
      <c r="B175" s="65"/>
      <c r="C175" s="65" t="s">
        <v>152</v>
      </c>
      <c r="D175" s="66" t="s">
        <v>2</v>
      </c>
      <c r="E175" s="66" t="s">
        <v>3</v>
      </c>
      <c r="F175" s="66" t="s">
        <v>4</v>
      </c>
      <c r="G175" s="66" t="s">
        <v>5</v>
      </c>
      <c r="H175" s="66" t="s">
        <v>6</v>
      </c>
      <c r="I175" s="66" t="s">
        <v>168</v>
      </c>
      <c r="J175" s="66" t="s">
        <v>167</v>
      </c>
      <c r="K175" s="73"/>
      <c r="L175" s="73"/>
    </row>
    <row r="176" spans="1:20">
      <c r="A176" s="76"/>
      <c r="B176" s="76"/>
      <c r="C176" s="76"/>
      <c r="D176" s="74"/>
      <c r="E176" s="74"/>
      <c r="F176" s="74"/>
      <c r="G176" s="74"/>
      <c r="H176" s="74"/>
      <c r="I176" s="74"/>
      <c r="J176" s="74"/>
      <c r="K176" s="73"/>
      <c r="L176" s="73"/>
    </row>
    <row r="177" spans="1:12">
      <c r="A177" s="76" t="s">
        <v>127</v>
      </c>
      <c r="B177" s="76"/>
      <c r="C177" s="76"/>
      <c r="D177" s="74"/>
      <c r="E177" s="74"/>
      <c r="F177" s="74"/>
      <c r="G177" s="74"/>
      <c r="H177" s="74"/>
      <c r="I177" s="74"/>
      <c r="J177" s="74"/>
      <c r="K177" s="73"/>
      <c r="L177" s="73"/>
    </row>
    <row r="178" spans="1:12">
      <c r="A178" s="74" t="str">
        <f t="shared" ref="A178:A198" si="31">A120</f>
        <v>Soybean</v>
      </c>
      <c r="B178" s="74" t="s">
        <v>363</v>
      </c>
      <c r="C178" s="230"/>
      <c r="D178" s="168">
        <f>(B120*(1-'5.Closing Stock &amp; W Capital'!$D$16))*C$178*D172</f>
        <v>0</v>
      </c>
      <c r="E178" s="168">
        <f>((C120*(1-'5.Closing Stock &amp; W Capital'!$D$16))+(B120*'5.Closing Stock &amp; W Capital'!$D$16))*$C178*E$172</f>
        <v>0</v>
      </c>
      <c r="F178" s="168">
        <f>((D120*(1-'5.Closing Stock &amp; W Capital'!$D$16))+(C120*'5.Closing Stock &amp; W Capital'!$D$16))*$C178*F$172</f>
        <v>0</v>
      </c>
      <c r="G178" s="168">
        <f>((E120*(1-'5.Closing Stock &amp; W Capital'!$D$16))+(D120*'5.Closing Stock &amp; W Capital'!$D$16))*$C178*G$172</f>
        <v>0</v>
      </c>
      <c r="H178" s="168">
        <f>((F120*(1-'5.Closing Stock &amp; W Capital'!$D$16))+(E120*'5.Closing Stock &amp; W Capital'!$D$16))*$C178*H$172</f>
        <v>0</v>
      </c>
      <c r="I178" s="168">
        <f>((G120*(1-'5.Closing Stock &amp; W Capital'!$D$16))+(F120*'5.Closing Stock &amp; W Capital'!$D$16))*$C178*I$172</f>
        <v>0</v>
      </c>
      <c r="J178" s="168">
        <f>((H120*(1-'5.Closing Stock &amp; W Capital'!$D$16))+(G120*'5.Closing Stock &amp; W Capital'!$D$16))*$C178*J$172</f>
        <v>0</v>
      </c>
      <c r="K178" s="73"/>
      <c r="L178" s="73"/>
    </row>
    <row r="179" spans="1:12">
      <c r="A179" s="74" t="str">
        <f t="shared" si="31"/>
        <v>Red Gram/Tur</v>
      </c>
      <c r="B179" s="74" t="s">
        <v>363</v>
      </c>
      <c r="C179" s="230">
        <v>5800</v>
      </c>
      <c r="D179" s="168">
        <f>(B121*(1-'5.Closing Stock &amp; W Capital'!$D$16))*$C179*D$172</f>
        <v>6234923.9214000013</v>
      </c>
      <c r="E179" s="168">
        <f>((C121*(1-'5.Closing Stock &amp; W Capital'!$D$16))+(B121*'5.Closing Stock &amp; W Capital'!$D$16))*$C179*E$172</f>
        <v>8024578.0099500008</v>
      </c>
      <c r="F179" s="168">
        <f>((D121*(1-'5.Closing Stock &amp; W Capital'!$D$16))+(C121*'5.Closing Stock &amp; W Capital'!$D$16))*($C179+50)*F$172</f>
        <v>9745604.7682499997</v>
      </c>
      <c r="G179" s="168">
        <f>((E121*(1-'5.Closing Stock &amp; W Capital'!$D$16))+(D121*'5.Closing Stock &amp; W Capital'!$D$16))*($C179+65)*G$172</f>
        <v>10999598.969924999</v>
      </c>
      <c r="H179" s="168">
        <f>((F121*(1-'5.Closing Stock &amp; W Capital'!$D$16))+(E121*'5.Closing Stock &amp; W Capital'!$D$16))*($C179+70)*H$172</f>
        <v>12239029.509149997</v>
      </c>
      <c r="I179" s="168">
        <f>((G121*(1-'5.Closing Stock &amp; W Capital'!$D$16))+(F121*'5.Closing Stock &amp; W Capital'!$D$16))*($C179+75)*I$172</f>
        <v>13480555.539375</v>
      </c>
      <c r="J179" s="168">
        <f>((H121*(1-'5.Closing Stock &amp; W Capital'!$D$16))+(G121*'5.Closing Stock &amp; W Capital'!$D$16))*($C179+80)*J$172</f>
        <v>14724177.060600001</v>
      </c>
      <c r="K179" s="73"/>
      <c r="L179" s="73"/>
    </row>
    <row r="180" spans="1:12">
      <c r="A180" s="74" t="str">
        <f t="shared" si="31"/>
        <v>Paddy/Rice</v>
      </c>
      <c r="B180" s="74" t="s">
        <v>363</v>
      </c>
      <c r="C180" s="230"/>
      <c r="D180" s="168">
        <f>(B122*(1-'5.Closing Stock &amp; W Capital'!$D$16))*$C180*D$172</f>
        <v>0</v>
      </c>
      <c r="E180" s="168">
        <f>((C122*(1-'5.Closing Stock &amp; W Capital'!$D$16))+(B122*'5.Closing Stock &amp; W Capital'!$D$16))*$C180*E$172</f>
        <v>0</v>
      </c>
      <c r="F180" s="168">
        <f>((D122*(1-'5.Closing Stock &amp; W Capital'!$D$16))+(C122*'5.Closing Stock &amp; W Capital'!$D$16))*$C180*F$172</f>
        <v>0</v>
      </c>
      <c r="G180" s="168">
        <f>((E122*(1-'5.Closing Stock &amp; W Capital'!$D$16))+(D122*'5.Closing Stock &amp; W Capital'!$D$16))*$C180*G$172</f>
        <v>0</v>
      </c>
      <c r="H180" s="168">
        <f>((F122*(1-'5.Closing Stock &amp; W Capital'!$D$16))+(E122*'5.Closing Stock &amp; W Capital'!$D$16))*$C180*H$172</f>
        <v>0</v>
      </c>
      <c r="I180" s="168">
        <f>((G122*(1-'5.Closing Stock &amp; W Capital'!$D$16))+(F122*'5.Closing Stock &amp; W Capital'!$D$16))*$C180*I$172</f>
        <v>0</v>
      </c>
      <c r="J180" s="168">
        <f>((H122*(1-'5.Closing Stock &amp; W Capital'!$D$16))+(G122*'5.Closing Stock &amp; W Capital'!$D$16))*$C180*J$172</f>
        <v>0</v>
      </c>
      <c r="K180" s="73"/>
      <c r="L180" s="73"/>
    </row>
    <row r="181" spans="1:12">
      <c r="A181" s="74" t="str">
        <f t="shared" si="31"/>
        <v>Green Gram/ Moong</v>
      </c>
      <c r="B181" s="74" t="s">
        <v>363</v>
      </c>
      <c r="C181" s="230">
        <v>5950</v>
      </c>
      <c r="D181" s="168">
        <f>(B123*(1-'5.Closing Stock &amp; W Capital'!$D$16))*$C181*D$172</f>
        <v>3464032.0739535</v>
      </c>
      <c r="E181" s="168">
        <f>((C123*(1-'5.Closing Stock &amp; W Capital'!$D$16))+(B123*'5.Closing Stock &amp; W Capital'!$D$16))*$C181*E$172</f>
        <v>4458337.5766623747</v>
      </c>
      <c r="F181" s="168">
        <f>((D123*(1-'5.Closing Stock &amp; W Capital'!$D$16))+(C123*'5.Closing Stock &amp; W Capital'!$D$16))*$C181*F$172</f>
        <v>5368236.839752499</v>
      </c>
      <c r="G181" s="168">
        <f>((E123*(1-'5.Closing Stock &amp; W Capital'!$D$16))+(D123*'5.Closing Stock &amp; W Capital'!$D$16))*$C181*G$172</f>
        <v>6043486.7567024985</v>
      </c>
      <c r="H181" s="168">
        <f>((F123*(1-'5.Closing Stock &amp; W Capital'!$D$16))+(E123*'5.Closing Stock &amp; W Capital'!$D$16))*$C181*H$172</f>
        <v>6718736.6736524999</v>
      </c>
      <c r="I181" s="168">
        <f>((G123*(1-'5.Closing Stock &amp; W Capital'!$D$16))+(F123*'5.Closing Stock &amp; W Capital'!$D$16))*$C181*I$172</f>
        <v>7393986.5906024994</v>
      </c>
      <c r="J181" s="168">
        <f>((H123*(1-'5.Closing Stock &amp; W Capital'!$D$16))+(G123*'5.Closing Stock &amp; W Capital'!$D$16))*$C181*J$172</f>
        <v>8069236.507552499</v>
      </c>
      <c r="K181" s="73"/>
      <c r="L181" s="73"/>
    </row>
    <row r="182" spans="1:12">
      <c r="A182" s="74" t="str">
        <f t="shared" si="31"/>
        <v>Maize</v>
      </c>
      <c r="B182" s="74" t="s">
        <v>363</v>
      </c>
      <c r="C182" s="230"/>
      <c r="D182" s="168">
        <f>(B124*(1-'5.Closing Stock &amp; W Capital'!$D$16))*$C182*D$172</f>
        <v>0</v>
      </c>
      <c r="E182" s="168">
        <f>((C124*(1-'5.Closing Stock &amp; W Capital'!$D$16))+(B124*'5.Closing Stock &amp; W Capital'!$D$16))*$C182*E$172</f>
        <v>0</v>
      </c>
      <c r="F182" s="168">
        <f>((D124*(1-'5.Closing Stock &amp; W Capital'!$D$16))+(C124*'5.Closing Stock &amp; W Capital'!$D$16))*$C182*F$172</f>
        <v>0</v>
      </c>
      <c r="G182" s="168">
        <f>((E124*(1-'5.Closing Stock &amp; W Capital'!$D$16))+(D124*'5.Closing Stock &amp; W Capital'!$D$16))*$C182*G$172</f>
        <v>0</v>
      </c>
      <c r="H182" s="168">
        <f>((F124*(1-'5.Closing Stock &amp; W Capital'!$D$16))+(E124*'5.Closing Stock &amp; W Capital'!$D$16))*$C182*H$172</f>
        <v>0</v>
      </c>
      <c r="I182" s="168">
        <f>((G124*(1-'5.Closing Stock &amp; W Capital'!$D$16))+(F124*'5.Closing Stock &amp; W Capital'!$D$16))*$C182*I$172</f>
        <v>0</v>
      </c>
      <c r="J182" s="168">
        <f>((H124*(1-'5.Closing Stock &amp; W Capital'!$D$16))+(G124*'5.Closing Stock &amp; W Capital'!$D$16))*$C182*J$172</f>
        <v>0</v>
      </c>
      <c r="K182" s="73"/>
      <c r="L182" s="73"/>
    </row>
    <row r="183" spans="1:12">
      <c r="A183" s="74" t="str">
        <f t="shared" si="31"/>
        <v>Black Gram/Udid</v>
      </c>
      <c r="B183" s="74" t="s">
        <v>363</v>
      </c>
      <c r="C183" s="230">
        <v>5850</v>
      </c>
      <c r="D183" s="168">
        <f>(B125*(1-'5.Closing Stock &amp; W Capital'!$D$16))*$C183*D$172</f>
        <v>1737659.7181125002</v>
      </c>
      <c r="E183" s="168">
        <f>((C125*(1-'5.Closing Stock &amp; W Capital'!$D$16))+(B125*'5.Closing Stock &amp; W Capital'!$D$16))*$C183*E$172</f>
        <v>2236432.4149781247</v>
      </c>
      <c r="F183" s="168">
        <f>((D125*(1-'5.Closing Stock &amp; W Capital'!$D$16))+(C125*'5.Closing Stock &amp; W Capital'!$D$16))*$C183*F$172</f>
        <v>2692864.4754374996</v>
      </c>
      <c r="G183" s="168">
        <f>((E125*(1-'5.Closing Stock &amp; W Capital'!$D$16))+(D125*'5.Closing Stock &amp; W Capital'!$D$16))*$C183*G$172</f>
        <v>3031589.5666874996</v>
      </c>
      <c r="H183" s="168">
        <f>((F125*(1-'5.Closing Stock &amp; W Capital'!$D$16))+(E125*'5.Closing Stock &amp; W Capital'!$D$16))*$C183*H$172</f>
        <v>3370314.6579375002</v>
      </c>
      <c r="I183" s="168">
        <f>((G125*(1-'5.Closing Stock &amp; W Capital'!$D$16))+(F125*'5.Closing Stock &amp; W Capital'!$D$16))*$C183*I$172</f>
        <v>3709039.7491874993</v>
      </c>
      <c r="J183" s="168">
        <f>((H125*(1-'5.Closing Stock &amp; W Capital'!$D$16))+(G125*'5.Closing Stock &amp; W Capital'!$D$16))*$C183*J$172</f>
        <v>4047764.8404375007</v>
      </c>
      <c r="K183" s="73"/>
      <c r="L183" s="73"/>
    </row>
    <row r="184" spans="1:12">
      <c r="A184" s="74" t="str">
        <f t="shared" si="31"/>
        <v>Bajra</v>
      </c>
      <c r="B184" s="74" t="s">
        <v>363</v>
      </c>
      <c r="C184" s="230">
        <v>2000</v>
      </c>
      <c r="D184" s="168">
        <f>(B126*(1-'5.Closing Stock &amp; W Capital'!$D$16))*$C184*D$172</f>
        <v>0</v>
      </c>
      <c r="E184" s="168">
        <f>((C126*(1-'5.Closing Stock &amp; W Capital'!$D$16))+(B126*'5.Closing Stock &amp; W Capital'!$D$16))*$C184*E$172</f>
        <v>0</v>
      </c>
      <c r="F184" s="168">
        <f>((D126*(1-'5.Closing Stock &amp; W Capital'!$D$16))+(C126*'5.Closing Stock &amp; W Capital'!$D$16))*$C184*F$172</f>
        <v>0</v>
      </c>
      <c r="G184" s="168">
        <f>((E126*(1-'5.Closing Stock &amp; W Capital'!$D$16))+(D126*'5.Closing Stock &amp; W Capital'!$D$16))*$C184*G$172</f>
        <v>0</v>
      </c>
      <c r="H184" s="168">
        <f>((F126*(1-'5.Closing Stock &amp; W Capital'!$D$16))+(E126*'5.Closing Stock &amp; W Capital'!$D$16))*$C184*H$172</f>
        <v>0</v>
      </c>
      <c r="I184" s="168">
        <f>((G126*(1-'5.Closing Stock &amp; W Capital'!$D$16))+(F126*'5.Closing Stock &amp; W Capital'!$D$16))*$C184*I$172</f>
        <v>0</v>
      </c>
      <c r="J184" s="168">
        <f>((H126*(1-'5.Closing Stock &amp; W Capital'!$D$16))+(G126*'5.Closing Stock &amp; W Capital'!$D$16))*$C184*J$172</f>
        <v>0</v>
      </c>
      <c r="K184" s="73"/>
      <c r="L184" s="73"/>
    </row>
    <row r="185" spans="1:12">
      <c r="A185" s="74" t="str">
        <f t="shared" si="31"/>
        <v>Jawar</v>
      </c>
      <c r="B185" s="74" t="s">
        <v>363</v>
      </c>
      <c r="C185" s="230"/>
      <c r="D185" s="168">
        <f>(B127*(1-'5.Closing Stock &amp; W Capital'!$D$16))*$C185*D$172</f>
        <v>0</v>
      </c>
      <c r="E185" s="168">
        <f>((C127*(1-'5.Closing Stock &amp; W Capital'!$D$16))+(B127*'5.Closing Stock &amp; W Capital'!$D$16))*$C185*E$172</f>
        <v>0</v>
      </c>
      <c r="F185" s="168">
        <f>((D127*(1-'5.Closing Stock &amp; W Capital'!$D$16))+(C127*'5.Closing Stock &amp; W Capital'!$D$16))*$C185*F$172</f>
        <v>0</v>
      </c>
      <c r="G185" s="168">
        <f>((E127*(1-'5.Closing Stock &amp; W Capital'!$D$16))+(D127*'5.Closing Stock &amp; W Capital'!$D$16))*$C185*G$172</f>
        <v>0</v>
      </c>
      <c r="H185" s="168">
        <f>((F127*(1-'5.Closing Stock &amp; W Capital'!$D$16))+(E127*'5.Closing Stock &amp; W Capital'!$D$16))*$C185*H$172</f>
        <v>0</v>
      </c>
      <c r="I185" s="168">
        <f>((G127*(1-'5.Closing Stock &amp; W Capital'!$D$16))+(F127*'5.Closing Stock &amp; W Capital'!$D$16))*$C185*I$172</f>
        <v>0</v>
      </c>
      <c r="J185" s="168">
        <f>((H127*(1-'5.Closing Stock &amp; W Capital'!$D$16))+(G127*'5.Closing Stock &amp; W Capital'!$D$16))*$C185*J$172</f>
        <v>0</v>
      </c>
      <c r="K185" s="73"/>
      <c r="L185" s="73"/>
    </row>
    <row r="186" spans="1:12">
      <c r="A186" s="74" t="str">
        <f t="shared" si="31"/>
        <v>Sunflower</v>
      </c>
      <c r="B186" s="74" t="s">
        <v>363</v>
      </c>
      <c r="C186" s="230"/>
      <c r="D186" s="168">
        <f>(B128*(1-'5.Closing Stock &amp; W Capital'!$D$16))*$C186*D$172</f>
        <v>0</v>
      </c>
      <c r="E186" s="168">
        <f>((C128*(1-'5.Closing Stock &amp; W Capital'!$D$16))+(B128*'5.Closing Stock &amp; W Capital'!$D$16))*$C186*E$172</f>
        <v>0</v>
      </c>
      <c r="F186" s="168">
        <f>((D128*(1-'5.Closing Stock &amp; W Capital'!$D$16))+(C128*'5.Closing Stock &amp; W Capital'!$D$16))*$C186*F$172</f>
        <v>0</v>
      </c>
      <c r="G186" s="168">
        <f>((E128*(1-'5.Closing Stock &amp; W Capital'!$D$16))+(D128*'5.Closing Stock &amp; W Capital'!$D$16))*$C186*G$172</f>
        <v>0</v>
      </c>
      <c r="H186" s="168">
        <f>((F128*(1-'5.Closing Stock &amp; W Capital'!$D$16))+(E128*'5.Closing Stock &amp; W Capital'!$D$16))*$C186*H$172</f>
        <v>0</v>
      </c>
      <c r="I186" s="168">
        <f>((G128*(1-'5.Closing Stock &amp; W Capital'!$D$16))+(F128*'5.Closing Stock &amp; W Capital'!$D$16))*$C186*I$172</f>
        <v>0</v>
      </c>
      <c r="J186" s="168">
        <f>((H128*(1-'5.Closing Stock &amp; W Capital'!$D$16))+(G128*'5.Closing Stock &amp; W Capital'!$D$16))*$C186*J$172</f>
        <v>0</v>
      </c>
      <c r="K186" s="73"/>
      <c r="L186" s="73"/>
    </row>
    <row r="187" spans="1:12">
      <c r="A187" s="74" t="str">
        <f t="shared" si="31"/>
        <v>Wheat</v>
      </c>
      <c r="B187" s="74" t="s">
        <v>363</v>
      </c>
      <c r="C187" s="230">
        <v>2150</v>
      </c>
      <c r="D187" s="168">
        <f>(B129*(1-'5.Closing Stock &amp; W Capital'!$D$16))*$C187*D$172</f>
        <v>547394.63647499995</v>
      </c>
      <c r="E187" s="168">
        <f>((C129*(1-'5.Closing Stock &amp; W Capital'!$D$16))+(B129*'5.Closing Stock &amp; W Capital'!$D$16))*$C187*E$172</f>
        <v>704517.17101874971</v>
      </c>
      <c r="F187" s="168">
        <f>((D129*(1-'5.Closing Stock &amp; W Capital'!$D$16))+(C129*'5.Closing Stock &amp; W Capital'!$D$16))*$C187*F$172</f>
        <v>848301.62962499959</v>
      </c>
      <c r="G187" s="168">
        <f>((E129*(1-'5.Closing Stock &amp; W Capital'!$D$16))+(D129*'5.Closing Stock &amp; W Capital'!$D$16))*$C187*G$172</f>
        <v>955006.23712499964</v>
      </c>
      <c r="H187" s="168">
        <f>((F129*(1-'5.Closing Stock &amp; W Capital'!$D$16))+(E129*'5.Closing Stock &amp; W Capital'!$D$16))*$C187*H$172</f>
        <v>1061710.8446249997</v>
      </c>
      <c r="I187" s="168">
        <f>((G129*(1-'5.Closing Stock &amp; W Capital'!$D$16))+(F129*'5.Closing Stock &amp; W Capital'!$D$16))*$C187*I$172</f>
        <v>1168415.4521249996</v>
      </c>
      <c r="J187" s="168">
        <f>((H129*(1-'5.Closing Stock &amp; W Capital'!$D$16))+(G129*'5.Closing Stock &amp; W Capital'!$D$16))*$C187*J$172</f>
        <v>1275120.0596249998</v>
      </c>
      <c r="K187" s="73"/>
      <c r="L187" s="73"/>
    </row>
    <row r="188" spans="1:12">
      <c r="A188" s="74" t="str">
        <f t="shared" si="31"/>
        <v>Bengal Gram/Channa</v>
      </c>
      <c r="B188" s="74" t="s">
        <v>363</v>
      </c>
      <c r="C188" s="230">
        <v>4150</v>
      </c>
      <c r="D188" s="168">
        <f>(B130*(1-'5.Closing Stock &amp; W Capital'!$D$16))*$C188*D$172</f>
        <v>2377347.6363187507</v>
      </c>
      <c r="E188" s="168">
        <f>((C130*(1-'5.Closing Stock &amp; W Capital'!$D$16))+(B130*'5.Closing Stock &amp; W Capital'!$D$16))*$C188*E$172</f>
        <v>3059734.4578546872</v>
      </c>
      <c r="F188" s="168">
        <f>((D130*(1-'5.Closing Stock &amp; W Capital'!$D$16))+(C130*'5.Closing Stock &amp; W Capital'!$D$16))*$C188*F$172</f>
        <v>3684193.70540625</v>
      </c>
      <c r="G188" s="168">
        <f>((E130*(1-'5.Closing Stock &amp; W Capital'!$D$16))+(D130*'5.Closing Stock &amp; W Capital'!$D$16))*$C188*G$172</f>
        <v>4147614.2972812499</v>
      </c>
      <c r="H188" s="168">
        <f>((F130*(1-'5.Closing Stock &amp; W Capital'!$D$16))+(E130*'5.Closing Stock &amp; W Capital'!$D$16))*$C188*H$172</f>
        <v>4611034.8891562494</v>
      </c>
      <c r="I188" s="168">
        <f>((G130*(1-'5.Closing Stock &amp; W Capital'!$D$16))+(F130*'5.Closing Stock &amp; W Capital'!$D$16))*$C188*I$172</f>
        <v>5074455.4810312502</v>
      </c>
      <c r="J188" s="168">
        <f>((H130*(1-'5.Closing Stock &amp; W Capital'!$D$16))+(G130*'5.Closing Stock &amp; W Capital'!$D$16))*$C188*J$172</f>
        <v>5537876.0729062511</v>
      </c>
      <c r="K188" s="73"/>
      <c r="L188" s="73"/>
    </row>
    <row r="189" spans="1:12">
      <c r="A189" s="74" t="str">
        <f t="shared" si="31"/>
        <v>Jawar</v>
      </c>
      <c r="B189" s="74" t="s">
        <v>363</v>
      </c>
      <c r="C189" s="230"/>
      <c r="D189" s="168">
        <f>(B131*(1-'5.Closing Stock &amp; W Capital'!$D$16))*$C189*D$172</f>
        <v>0</v>
      </c>
      <c r="E189" s="168">
        <f>((C131*(1-'5.Closing Stock &amp; W Capital'!$D$16))+(B131*'5.Closing Stock &amp; W Capital'!$D$16))*$C189*E$172</f>
        <v>0</v>
      </c>
      <c r="F189" s="168">
        <f>((D131*(1-'5.Closing Stock &amp; W Capital'!$D$16))+(C131*'5.Closing Stock &amp; W Capital'!$D$16))*$C189*F$172</f>
        <v>0</v>
      </c>
      <c r="G189" s="168">
        <f>((E131*(1-'5.Closing Stock &amp; W Capital'!$D$16))+(D131*'5.Closing Stock &amp; W Capital'!$D$16))*$C189*G$172</f>
        <v>0</v>
      </c>
      <c r="H189" s="168">
        <f>((F131*(1-'5.Closing Stock &amp; W Capital'!$D$16))+(E131*'5.Closing Stock &amp; W Capital'!$D$16))*$C189*H$172</f>
        <v>0</v>
      </c>
      <c r="I189" s="168">
        <f>((G131*(1-'5.Closing Stock &amp; W Capital'!$D$16))+(F131*'5.Closing Stock &amp; W Capital'!$D$16))*$C189*I$172</f>
        <v>0</v>
      </c>
      <c r="J189" s="168">
        <f>((H131*(1-'5.Closing Stock &amp; W Capital'!$D$16))+(G131*'5.Closing Stock &amp; W Capital'!$D$16))*$C189*J$172</f>
        <v>0</v>
      </c>
      <c r="K189" s="73"/>
      <c r="L189" s="73"/>
    </row>
    <row r="190" spans="1:12">
      <c r="A190" s="74" t="str">
        <f t="shared" si="31"/>
        <v>Maize</v>
      </c>
      <c r="B190" s="74" t="s">
        <v>363</v>
      </c>
      <c r="C190" s="230"/>
      <c r="D190" s="168">
        <f>(B132*(1-'5.Closing Stock &amp; W Capital'!$D$16))*$C190*D$172</f>
        <v>0</v>
      </c>
      <c r="E190" s="168">
        <f>((C132*(1-'5.Closing Stock &amp; W Capital'!$D$16))+(B132*'5.Closing Stock &amp; W Capital'!$D$16))*$C190*E$172</f>
        <v>0</v>
      </c>
      <c r="F190" s="168">
        <f>((D132*(1-'5.Closing Stock &amp; W Capital'!$D$16))+(C132*'5.Closing Stock &amp; W Capital'!$D$16))*$C190*F$172</f>
        <v>0</v>
      </c>
      <c r="G190" s="168">
        <f>((E132*(1-'5.Closing Stock &amp; W Capital'!$D$16))+(D132*'5.Closing Stock &amp; W Capital'!$D$16))*$C190*G$172</f>
        <v>0</v>
      </c>
      <c r="H190" s="168">
        <f>((F132*(1-'5.Closing Stock &amp; W Capital'!$D$16))+(E132*'5.Closing Stock &amp; W Capital'!$D$16))*$C190*H$172</f>
        <v>0</v>
      </c>
      <c r="I190" s="168">
        <f>((G132*(1-'5.Closing Stock &amp; W Capital'!$D$16))+(F132*'5.Closing Stock &amp; W Capital'!$D$16))*$C190*I$172</f>
        <v>0</v>
      </c>
      <c r="J190" s="168">
        <f>((H132*(1-'5.Closing Stock &amp; W Capital'!$D$16))+(G132*'5.Closing Stock &amp; W Capital'!$D$16))*$C190*J$172</f>
        <v>0</v>
      </c>
      <c r="K190" s="73"/>
      <c r="L190" s="73"/>
    </row>
    <row r="191" spans="1:12">
      <c r="A191" s="74" t="str">
        <f t="shared" si="31"/>
        <v>Safflower</v>
      </c>
      <c r="B191" s="74" t="s">
        <v>363</v>
      </c>
      <c r="C191" s="230"/>
      <c r="D191" s="168">
        <f>(B133*(1-'5.Closing Stock &amp; W Capital'!$D$16))*$C191*D$172</f>
        <v>0</v>
      </c>
      <c r="E191" s="168">
        <f>((C133*(1-'5.Closing Stock &amp; W Capital'!$D$16))+(B133*'5.Closing Stock &amp; W Capital'!$D$16))*$C191*E$172</f>
        <v>0</v>
      </c>
      <c r="F191" s="168">
        <f>((D133*(1-'5.Closing Stock &amp; W Capital'!$D$16))+(C133*'5.Closing Stock &amp; W Capital'!$D$16))*$C191*F$172</f>
        <v>0</v>
      </c>
      <c r="G191" s="168">
        <f>((E133*(1-'5.Closing Stock &amp; W Capital'!$D$16))+(D133*'5.Closing Stock &amp; W Capital'!$D$16))*$C191*G$172</f>
        <v>0</v>
      </c>
      <c r="H191" s="168">
        <f>((F133*(1-'5.Closing Stock &amp; W Capital'!$D$16))+(E133*'5.Closing Stock &amp; W Capital'!$D$16))*$C191*H$172</f>
        <v>0</v>
      </c>
      <c r="I191" s="168">
        <f>((G133*(1-'5.Closing Stock &amp; W Capital'!$D$16))+(F133*'5.Closing Stock &amp; W Capital'!$D$16))*$C191*I$172</f>
        <v>0</v>
      </c>
      <c r="J191" s="168">
        <f>((H133*(1-'5.Closing Stock &amp; W Capital'!$D$16))+(G133*'5.Closing Stock &amp; W Capital'!$D$16))*$C191*J$172</f>
        <v>0</v>
      </c>
      <c r="K191" s="73"/>
      <c r="L191" s="73"/>
    </row>
    <row r="192" spans="1:12">
      <c r="A192" s="74" t="str">
        <f t="shared" si="31"/>
        <v>Groundnut</v>
      </c>
      <c r="B192" s="74" t="s">
        <v>363</v>
      </c>
      <c r="C192" s="230">
        <v>4700</v>
      </c>
      <c r="D192" s="168">
        <f>(B134*(1-'5.Closing Stock &amp; W Capital'!$D$16))*$C192*D$172</f>
        <v>1884692.4634912494</v>
      </c>
      <c r="E192" s="168">
        <f>((C134*(1-'5.Closing Stock &amp; W Capital'!$D$16))+(B134*'5.Closing Stock &amp; W Capital'!$D$16))*$C192*E$172</f>
        <v>2425669.0039378111</v>
      </c>
      <c r="F192" s="168">
        <f>((D134*(1-'5.Closing Stock &amp; W Capital'!$D$16))+(C134*'5.Closing Stock &amp; W Capital'!$D$16))*$C192*F$172</f>
        <v>2920722.238743749</v>
      </c>
      <c r="G192" s="168">
        <f>((E134*(1-'5.Closing Stock &amp; W Capital'!$D$16))+(D134*'5.Closing Stock &amp; W Capital'!$D$16))*$C192*G$172</f>
        <v>3288108.6838687491</v>
      </c>
      <c r="H192" s="168">
        <f>((F134*(1-'5.Closing Stock &amp; W Capital'!$D$16))+(E134*'5.Closing Stock &amp; W Capital'!$D$16))*$C192*H$172</f>
        <v>3655495.1289937487</v>
      </c>
      <c r="I192" s="168">
        <f>((G134*(1-'5.Closing Stock &amp; W Capital'!$D$16))+(F134*'5.Closing Stock &amp; W Capital'!$D$16))*$C192*I$172</f>
        <v>4022881.5741187488</v>
      </c>
      <c r="J192" s="168">
        <f>((H134*(1-'5.Closing Stock &amp; W Capital'!$D$16))+(G134*'5.Closing Stock &amp; W Capital'!$D$16))*$C192*J$172</f>
        <v>4390268.0192437489</v>
      </c>
      <c r="K192" s="73"/>
      <c r="L192" s="73"/>
    </row>
    <row r="193" spans="1:12">
      <c r="A193" s="74">
        <f t="shared" si="31"/>
        <v>0</v>
      </c>
      <c r="B193" s="74" t="s">
        <v>363</v>
      </c>
      <c r="C193" s="230"/>
      <c r="D193" s="168">
        <f>(B135*(1-'5.Closing Stock &amp; W Capital'!$D$16))*$C193*D$172</f>
        <v>0</v>
      </c>
      <c r="E193" s="168">
        <f>((C135*(1-'5.Closing Stock &amp; W Capital'!$D$16))+(B135*'5.Closing Stock &amp; W Capital'!$D$16))*$C193*E$172</f>
        <v>0</v>
      </c>
      <c r="F193" s="168">
        <f>((D135*(1-'5.Closing Stock &amp; W Capital'!$D$16))+(C135*'5.Closing Stock &amp; W Capital'!$D$16))*$C193*F$172</f>
        <v>0</v>
      </c>
      <c r="G193" s="168">
        <f>((E135*(1-'5.Closing Stock &amp; W Capital'!$D$16))+(D135*'5.Closing Stock &amp; W Capital'!$D$16))*$C193*G$172</f>
        <v>0</v>
      </c>
      <c r="H193" s="168">
        <f>((F135*(1-'5.Closing Stock &amp; W Capital'!$D$16))+(E135*'5.Closing Stock &amp; W Capital'!$D$16))*$C193*H$172</f>
        <v>0</v>
      </c>
      <c r="I193" s="168">
        <f>((G135*(1-'5.Closing Stock &amp; W Capital'!$D$16))+(F135*'5.Closing Stock &amp; W Capital'!$D$16))*$C193*I$172</f>
        <v>0</v>
      </c>
      <c r="J193" s="168">
        <f>((H135*(1-'5.Closing Stock &amp; W Capital'!$D$16))+(G135*'5.Closing Stock &amp; W Capital'!$D$16))*$C193*J$172</f>
        <v>0</v>
      </c>
      <c r="K193" s="73"/>
      <c r="L193" s="73"/>
    </row>
    <row r="194" spans="1:12">
      <c r="A194" s="74">
        <f t="shared" si="31"/>
        <v>0</v>
      </c>
      <c r="B194" s="74" t="s">
        <v>363</v>
      </c>
      <c r="C194" s="230"/>
      <c r="D194" s="168">
        <f>(B136*(1-'5.Closing Stock &amp; W Capital'!$D$16))*$C194*D$172</f>
        <v>0</v>
      </c>
      <c r="E194" s="168">
        <f>((C136*(1-'5.Closing Stock &amp; W Capital'!$D$16))+(B136*'5.Closing Stock &amp; W Capital'!$D$16))*$C194*E$172</f>
        <v>0</v>
      </c>
      <c r="F194" s="168">
        <f>((D136*(1-'5.Closing Stock &amp; W Capital'!$D$16))+(C136*'5.Closing Stock &amp; W Capital'!$D$16))*$C194*F$172</f>
        <v>0</v>
      </c>
      <c r="G194" s="168">
        <f>((E136*(1-'5.Closing Stock &amp; W Capital'!$D$16))+(D136*'5.Closing Stock &amp; W Capital'!$D$16))*$C194*G$172</f>
        <v>0</v>
      </c>
      <c r="H194" s="168">
        <f>((F136*(1-'5.Closing Stock &amp; W Capital'!$D$16))+(E136*'5.Closing Stock &amp; W Capital'!$D$16))*$C194*H$172</f>
        <v>0</v>
      </c>
      <c r="I194" s="168">
        <f>((G136*(1-'5.Closing Stock &amp; W Capital'!$D$16))+(F136*'5.Closing Stock &amp; W Capital'!$D$16))*$C194*I$172</f>
        <v>0</v>
      </c>
      <c r="J194" s="168">
        <f>((H136*(1-'5.Closing Stock &amp; W Capital'!$D$16))+(G136*'5.Closing Stock &amp; W Capital'!$D$16))*$C194*J$172</f>
        <v>0</v>
      </c>
      <c r="K194" s="73"/>
      <c r="L194" s="73"/>
    </row>
    <row r="195" spans="1:12">
      <c r="A195" s="74" t="str">
        <f t="shared" si="31"/>
        <v>Groundnut</v>
      </c>
      <c r="B195" s="74" t="s">
        <v>363</v>
      </c>
      <c r="C195" s="230">
        <v>4700</v>
      </c>
      <c r="D195" s="168">
        <f>(B137*(1-'5.Closing Stock &amp; W Capital'!$D$16))*$C195*D$172</f>
        <v>287191.23253199994</v>
      </c>
      <c r="E195" s="168">
        <f>((C137*(1-'5.Closing Stock &amp; W Capital'!$D$16))+(B137*'5.Closing Stock &amp; W Capital'!$D$16))*$C195*E$172</f>
        <v>369625.75298099994</v>
      </c>
      <c r="F195" s="168">
        <f>((D137*(1-'5.Closing Stock &amp; W Capital'!$D$16))+(C137*'5.Closing Stock &amp; W Capital'!$D$16))*$C195*F$172</f>
        <v>445062.43638000003</v>
      </c>
      <c r="G195" s="168">
        <f>((E137*(1-'5.Closing Stock &amp; W Capital'!$D$16))+(D137*'5.Closing Stock &amp; W Capital'!$D$16))*$C195*G$172</f>
        <v>501045.13277999993</v>
      </c>
      <c r="H195" s="168">
        <f>((F137*(1-'5.Closing Stock &amp; W Capital'!$D$16))+(E137*'5.Closing Stock &amp; W Capital'!$D$16))*$C195*H$172</f>
        <v>557027.82918</v>
      </c>
      <c r="I195" s="168">
        <f>((G137*(1-'5.Closing Stock &amp; W Capital'!$D$16))+(F137*'5.Closing Stock &amp; W Capital'!$D$16))*$C195*I$172</f>
        <v>613010.5255799999</v>
      </c>
      <c r="J195" s="168">
        <f>((H137*(1-'5.Closing Stock &amp; W Capital'!$D$16))+(G137*'5.Closing Stock &amp; W Capital'!$D$16))*$C195*J$172</f>
        <v>668993.2219799998</v>
      </c>
      <c r="K195" s="73"/>
      <c r="L195" s="73"/>
    </row>
    <row r="196" spans="1:12">
      <c r="A196" s="74">
        <f t="shared" si="31"/>
        <v>0</v>
      </c>
      <c r="B196" s="74" t="s">
        <v>363</v>
      </c>
      <c r="C196" s="230"/>
      <c r="D196" s="168">
        <f>(B138*(1-'5.Closing Stock &amp; W Capital'!$D$16))*$C196*D$172</f>
        <v>0</v>
      </c>
      <c r="E196" s="168">
        <f>((C138*(1-'5.Closing Stock &amp; W Capital'!$D$16))+(B138*'5.Closing Stock &amp; W Capital'!$D$16))*$C196*E$172</f>
        <v>0</v>
      </c>
      <c r="F196" s="168">
        <f>((D138*(1-'5.Closing Stock &amp; W Capital'!$D$16))+(C138*'5.Closing Stock &amp; W Capital'!$D$16))*$C196*F$172</f>
        <v>0</v>
      </c>
      <c r="G196" s="168">
        <f>((E138*(1-'5.Closing Stock &amp; W Capital'!$D$16))+(D138*'5.Closing Stock &amp; W Capital'!$D$16))*$C196*G$172</f>
        <v>0</v>
      </c>
      <c r="H196" s="168">
        <f>((F138*(1-'5.Closing Stock &amp; W Capital'!$D$16))+(E138*'5.Closing Stock &amp; W Capital'!$D$16))*$C196*H$172</f>
        <v>0</v>
      </c>
      <c r="I196" s="168">
        <f>((G138*(1-'5.Closing Stock &amp; W Capital'!$D$16))+(F138*'5.Closing Stock &amp; W Capital'!$D$16))*$C196*I$172</f>
        <v>0</v>
      </c>
      <c r="J196" s="168">
        <f>((H138*(1-'5.Closing Stock &amp; W Capital'!$D$16))+(G138*'5.Closing Stock &amp; W Capital'!$D$16))*$C196*J$172</f>
        <v>0</v>
      </c>
      <c r="K196" s="73"/>
      <c r="L196" s="73"/>
    </row>
    <row r="197" spans="1:12">
      <c r="A197" s="74">
        <f t="shared" si="31"/>
        <v>0</v>
      </c>
      <c r="B197" s="74" t="s">
        <v>363</v>
      </c>
      <c r="C197" s="230"/>
      <c r="D197" s="168">
        <f>(B139*(1-'5.Closing Stock &amp; W Capital'!$D$16))*$C197*D$172</f>
        <v>0</v>
      </c>
      <c r="E197" s="168">
        <f>((C139*(1-'5.Closing Stock &amp; W Capital'!$D$16))+(B139*'5.Closing Stock &amp; W Capital'!$D$16))*$C197*E$172</f>
        <v>0</v>
      </c>
      <c r="F197" s="168">
        <f>((D139*(1-'5.Closing Stock &amp; W Capital'!$D$16))+(C139*'5.Closing Stock &amp; W Capital'!$D$16))*$C197*F$172</f>
        <v>0</v>
      </c>
      <c r="G197" s="168">
        <f>((E139*(1-'5.Closing Stock &amp; W Capital'!$D$16))+(D139*'5.Closing Stock &amp; W Capital'!$D$16))*$C197*G$172</f>
        <v>0</v>
      </c>
      <c r="H197" s="168">
        <f>((F139*(1-'5.Closing Stock &amp; W Capital'!$D$16))+(E139*'5.Closing Stock &amp; W Capital'!$D$16))*$C197*H$172</f>
        <v>0</v>
      </c>
      <c r="I197" s="168">
        <f>((G139*(1-'5.Closing Stock &amp; W Capital'!$D$16))+(F139*'5.Closing Stock &amp; W Capital'!$D$16))*$C197*I$172</f>
        <v>0</v>
      </c>
      <c r="J197" s="168">
        <f>((H139*(1-'5.Closing Stock &amp; W Capital'!$D$16))+(G139*'5.Closing Stock &amp; W Capital'!$D$16))*$C197*J$172</f>
        <v>0</v>
      </c>
      <c r="K197" s="73"/>
      <c r="L197" s="73"/>
    </row>
    <row r="198" spans="1:12">
      <c r="A198" s="74">
        <f t="shared" si="31"/>
        <v>0</v>
      </c>
      <c r="B198" s="74" t="s">
        <v>363</v>
      </c>
      <c r="C198" s="230"/>
      <c r="D198" s="168">
        <f>(B140*(1-'5.Closing Stock &amp; W Capital'!$D$16))*$C198*D$172</f>
        <v>0</v>
      </c>
      <c r="E198" s="168">
        <f>((C140*(1-'5.Closing Stock &amp; W Capital'!$D$16))+(B140*'5.Closing Stock &amp; W Capital'!$D$16))*$C198*E$172</f>
        <v>0</v>
      </c>
      <c r="F198" s="168">
        <f>((D140*(1-'5.Closing Stock &amp; W Capital'!$D$16))+(C140*'5.Closing Stock &amp; W Capital'!$D$16))*$C198*F$172</f>
        <v>0</v>
      </c>
      <c r="G198" s="168">
        <f>((E140*(1-'5.Closing Stock &amp; W Capital'!$D$16))+(D140*'5.Closing Stock &amp; W Capital'!$D$16))*$C198*G$172</f>
        <v>0</v>
      </c>
      <c r="H198" s="168">
        <f>((F140*(1-'5.Closing Stock &amp; W Capital'!$D$16))+(E140*'5.Closing Stock &amp; W Capital'!$D$16))*$C198*H$172</f>
        <v>0</v>
      </c>
      <c r="I198" s="168">
        <f>((G140*(1-'5.Closing Stock &amp; W Capital'!$D$16))+(F140*'5.Closing Stock &amp; W Capital'!$D$16))*$C198*I$172</f>
        <v>0</v>
      </c>
      <c r="J198" s="168">
        <f>((H140*(1-'5.Closing Stock &amp; W Capital'!$D$16))+(G140*'5.Closing Stock &amp; W Capital'!$D$16))*$C198*J$172</f>
        <v>0</v>
      </c>
      <c r="K198" s="73"/>
      <c r="L198" s="73"/>
    </row>
    <row r="199" spans="1:12">
      <c r="A199" s="74"/>
      <c r="B199" s="74" t="s">
        <v>363</v>
      </c>
      <c r="C199" s="230"/>
      <c r="D199" s="168">
        <f>(B141*(1-'5.Closing Stock &amp; W Capital'!$D$16))*$C199*D$172</f>
        <v>0</v>
      </c>
      <c r="E199" s="168">
        <f>((C141*(1-'5.Closing Stock &amp; W Capital'!$D$16))+(B141*'5.Closing Stock &amp; W Capital'!$D$16))*$C199*E$172</f>
        <v>0</v>
      </c>
      <c r="F199" s="168">
        <f>((D141*(1-'5.Closing Stock &amp; W Capital'!$D$16))+(C141*'5.Closing Stock &amp; W Capital'!$D$16))*$C199*F$172</f>
        <v>0</v>
      </c>
      <c r="G199" s="168">
        <f>((E141*(1-'5.Closing Stock &amp; W Capital'!$D$16))+(D141*'5.Closing Stock &amp; W Capital'!$D$16))*$C199*G$172</f>
        <v>0</v>
      </c>
      <c r="H199" s="168">
        <f>((F141*(1-'5.Closing Stock &amp; W Capital'!$D$16))+(E141*'5.Closing Stock &amp; W Capital'!$D$16))*$C199*H$172</f>
        <v>0</v>
      </c>
      <c r="I199" s="168">
        <f>((G141*(1-'5.Closing Stock &amp; W Capital'!$D$16))+(F141*'5.Closing Stock &amp; W Capital'!$D$16))*$C199*I$172</f>
        <v>0</v>
      </c>
      <c r="J199" s="168">
        <f>((H141*(1-'5.Closing Stock &amp; W Capital'!$D$16))+(G141*'5.Closing Stock &amp; W Capital'!$D$16))*$C199*J$172</f>
        <v>0</v>
      </c>
      <c r="K199" s="73"/>
      <c r="L199" s="73"/>
    </row>
    <row r="200" spans="1:12">
      <c r="A200" s="76" t="s">
        <v>290</v>
      </c>
      <c r="B200" s="74" t="s">
        <v>363</v>
      </c>
      <c r="C200" s="207">
        <v>80</v>
      </c>
      <c r="D200" s="168">
        <f t="shared" ref="D200:J200" si="32">B65*$C$200*D172</f>
        <v>281608.06679999997</v>
      </c>
      <c r="E200" s="168">
        <f t="shared" si="32"/>
        <v>346795.11929999996</v>
      </c>
      <c r="F200" s="168">
        <f t="shared" si="32"/>
        <v>417197.13599999994</v>
      </c>
      <c r="G200" s="168">
        <f t="shared" si="32"/>
        <v>469346.77799999999</v>
      </c>
      <c r="H200" s="168">
        <f t="shared" si="32"/>
        <v>521496.41999999993</v>
      </c>
      <c r="I200" s="168">
        <f t="shared" si="32"/>
        <v>573646.06199999992</v>
      </c>
      <c r="J200" s="168">
        <f t="shared" si="32"/>
        <v>625795.70400000003</v>
      </c>
      <c r="K200" s="73"/>
      <c r="L200" s="73"/>
    </row>
    <row r="201" spans="1:12">
      <c r="A201" s="76"/>
      <c r="B201" s="76"/>
      <c r="C201" s="76"/>
      <c r="D201" s="74"/>
      <c r="E201" s="74"/>
      <c r="F201" s="74"/>
      <c r="G201" s="74"/>
      <c r="H201" s="74"/>
      <c r="I201" s="74"/>
      <c r="J201" s="74"/>
      <c r="K201" s="73"/>
      <c r="L201" s="73"/>
    </row>
    <row r="202" spans="1:12">
      <c r="A202" s="76" t="str">
        <f t="shared" ref="A202:A220" si="33">A143</f>
        <v>Fruit  &amp; Vegetables Crop Production Details</v>
      </c>
      <c r="B202" s="76"/>
      <c r="C202" s="76"/>
      <c r="D202" s="74"/>
      <c r="E202" s="74"/>
      <c r="F202" s="74"/>
      <c r="G202" s="74"/>
      <c r="H202" s="74"/>
      <c r="I202" s="74"/>
      <c r="J202" s="74"/>
      <c r="K202" s="73"/>
      <c r="L202" s="73"/>
    </row>
    <row r="203" spans="1:12">
      <c r="A203" s="76" t="str">
        <f t="shared" si="33"/>
        <v>Onion</v>
      </c>
      <c r="B203" s="74" t="s">
        <v>363</v>
      </c>
      <c r="C203" s="297">
        <v>2000</v>
      </c>
      <c r="D203" s="168">
        <f>(B144*(1-'5.Closing Stock &amp; W Capital'!$D$16))*$C203*D$172</f>
        <v>0</v>
      </c>
      <c r="E203" s="168">
        <f>((C144*(1-'5.Closing Stock &amp; W Capital'!$D$16))+(B144*'5.Closing Stock &amp; W Capital'!$D$16))*$C203*E$172</f>
        <v>0</v>
      </c>
      <c r="F203" s="168">
        <f>((D144*(1-'5.Closing Stock &amp; W Capital'!$D$16))+(C144*'5.Closing Stock &amp; W Capital'!$D$16))*$C203*F$172</f>
        <v>0</v>
      </c>
      <c r="G203" s="168">
        <f>((E144*(1-'5.Closing Stock &amp; W Capital'!$D$16))+(D144*'5.Closing Stock &amp; W Capital'!$D$16))*$C203*G$172</f>
        <v>0</v>
      </c>
      <c r="H203" s="168">
        <f>((F144*(1-'5.Closing Stock &amp; W Capital'!$D$16))+(E144*'5.Closing Stock &amp; W Capital'!$D$16))*$C203*H$172</f>
        <v>0</v>
      </c>
      <c r="I203" s="168">
        <f>((G144*(1-'5.Closing Stock &amp; W Capital'!$D$16))+(F144*'5.Closing Stock &amp; W Capital'!$D$16))*$C203*I$172</f>
        <v>0</v>
      </c>
      <c r="J203" s="168">
        <f>((H144*(1-'5.Closing Stock &amp; W Capital'!$D$16))+(G144*'5.Closing Stock &amp; W Capital'!$D$16))*$C203*J$172</f>
        <v>0</v>
      </c>
      <c r="K203" s="73"/>
      <c r="L203" s="73"/>
    </row>
    <row r="204" spans="1:12">
      <c r="A204" s="76" t="str">
        <f t="shared" si="33"/>
        <v>Tomato</v>
      </c>
      <c r="B204" s="74" t="s">
        <v>363</v>
      </c>
      <c r="C204" s="230">
        <v>1000</v>
      </c>
      <c r="D204" s="168">
        <f>(B145*(1-'5.Closing Stock &amp; W Capital'!$D$16))*$C204*D$172</f>
        <v>0</v>
      </c>
      <c r="E204" s="168">
        <f>((C145*(1-'5.Closing Stock &amp; W Capital'!$D$16))+(B145*'5.Closing Stock &amp; W Capital'!$D$16))*$C204*E$172</f>
        <v>0</v>
      </c>
      <c r="F204" s="168">
        <f>((D145*(1-'5.Closing Stock &amp; W Capital'!$D$16))+(C145*'5.Closing Stock &amp; W Capital'!$D$16))*$C204*F$172</f>
        <v>0</v>
      </c>
      <c r="G204" s="168">
        <f>((E145*(1-'5.Closing Stock &amp; W Capital'!$D$16))+(D145*'5.Closing Stock &amp; W Capital'!$D$16))*$C204*G$172</f>
        <v>0</v>
      </c>
      <c r="H204" s="168">
        <f>((F145*(1-'5.Closing Stock &amp; W Capital'!$D$16))+(E145*'5.Closing Stock &amp; W Capital'!$D$16))*$C204*H$172</f>
        <v>0</v>
      </c>
      <c r="I204" s="168">
        <f>((G145*(1-'5.Closing Stock &amp; W Capital'!$D$16))+(F145*'5.Closing Stock &amp; W Capital'!$D$16))*$C204*I$172</f>
        <v>0</v>
      </c>
      <c r="J204" s="168">
        <f>((H145*(1-'5.Closing Stock &amp; W Capital'!$D$16))+(G145*'5.Closing Stock &amp; W Capital'!$D$16))*$C204*J$172</f>
        <v>0</v>
      </c>
      <c r="K204" s="73"/>
      <c r="L204" s="73"/>
    </row>
    <row r="205" spans="1:12">
      <c r="A205" s="76" t="str">
        <f t="shared" si="33"/>
        <v>Okra</v>
      </c>
      <c r="B205" s="74" t="s">
        <v>363</v>
      </c>
      <c r="C205" s="230">
        <v>1500</v>
      </c>
      <c r="D205" s="168">
        <f>(B146*(1-'5.Closing Stock &amp; W Capital'!$D$16))*$C205*D$172</f>
        <v>0</v>
      </c>
      <c r="E205" s="168">
        <f>((C146*(1-'5.Closing Stock &amp; W Capital'!$D$16))+(B146*'5.Closing Stock &amp; W Capital'!$D$16))*$C205*E$172</f>
        <v>0</v>
      </c>
      <c r="F205" s="168">
        <f>((D146*(1-'5.Closing Stock &amp; W Capital'!$D$16))+(C146*'5.Closing Stock &amp; W Capital'!$D$16))*$C205*F$172</f>
        <v>0</v>
      </c>
      <c r="G205" s="168">
        <f>((E146*(1-'5.Closing Stock &amp; W Capital'!$D$16))+(D146*'5.Closing Stock &amp; W Capital'!$D$16))*$C205*G$172</f>
        <v>0</v>
      </c>
      <c r="H205" s="168">
        <f>((F146*(1-'5.Closing Stock &amp; W Capital'!$D$16))+(E146*'5.Closing Stock &amp; W Capital'!$D$16))*$C205*H$172</f>
        <v>0</v>
      </c>
      <c r="I205" s="168">
        <f>((G146*(1-'5.Closing Stock &amp; W Capital'!$D$16))+(F146*'5.Closing Stock &amp; W Capital'!$D$16))*$C205*I$172</f>
        <v>0</v>
      </c>
      <c r="J205" s="168">
        <f>((H146*(1-'5.Closing Stock &amp; W Capital'!$D$16))+(G146*'5.Closing Stock &amp; W Capital'!$D$16))*$C205*J$172</f>
        <v>0</v>
      </c>
      <c r="K205" s="73"/>
      <c r="L205" s="73"/>
    </row>
    <row r="206" spans="1:12">
      <c r="A206" s="76" t="str">
        <f t="shared" si="33"/>
        <v>Chilli</v>
      </c>
      <c r="B206" s="74" t="s">
        <v>363</v>
      </c>
      <c r="C206" s="230">
        <v>3000</v>
      </c>
      <c r="D206" s="168">
        <f>(B147*(1-'5.Closing Stock &amp; W Capital'!$D$16))*$C206*D$172</f>
        <v>0</v>
      </c>
      <c r="E206" s="168">
        <f>((C147*(1-'5.Closing Stock &amp; W Capital'!$D$16))+(B147*'5.Closing Stock &amp; W Capital'!$D$16))*$C206*E$172</f>
        <v>0</v>
      </c>
      <c r="F206" s="168">
        <f>((D147*(1-'5.Closing Stock &amp; W Capital'!$D$16))+(C147*'5.Closing Stock &amp; W Capital'!$D$16))*$C206*F$172</f>
        <v>0</v>
      </c>
      <c r="G206" s="168">
        <f>((E147*(1-'5.Closing Stock &amp; W Capital'!$D$16))+(D147*'5.Closing Stock &amp; W Capital'!$D$16))*$C206*G$172</f>
        <v>0</v>
      </c>
      <c r="H206" s="168">
        <f>((F147*(1-'5.Closing Stock &amp; W Capital'!$D$16))+(E147*'5.Closing Stock &amp; W Capital'!$D$16))*$C206*H$172</f>
        <v>0</v>
      </c>
      <c r="I206" s="168">
        <f>((G147*(1-'5.Closing Stock &amp; W Capital'!$D$16))+(F147*'5.Closing Stock &amp; W Capital'!$D$16))*$C206*I$172</f>
        <v>0</v>
      </c>
      <c r="J206" s="168">
        <f>((H147*(1-'5.Closing Stock &amp; W Capital'!$D$16))+(G147*'5.Closing Stock &amp; W Capital'!$D$16))*$C206*J$172</f>
        <v>0</v>
      </c>
      <c r="K206" s="73"/>
      <c r="L206" s="73"/>
    </row>
    <row r="207" spans="1:12">
      <c r="A207" s="76" t="str">
        <f t="shared" si="33"/>
        <v>Potato</v>
      </c>
      <c r="B207" s="74" t="s">
        <v>363</v>
      </c>
      <c r="C207" s="230">
        <v>1500</v>
      </c>
      <c r="D207" s="168">
        <f>(B148*(1-'5.Closing Stock &amp; W Capital'!$D$16))*$C207*D$172</f>
        <v>0</v>
      </c>
      <c r="E207" s="168">
        <f>((C148*(1-'5.Closing Stock &amp; W Capital'!$D$16))+(B148*'5.Closing Stock &amp; W Capital'!$D$16))*$C207*E$172</f>
        <v>0</v>
      </c>
      <c r="F207" s="168">
        <f>((D148*(1-'5.Closing Stock &amp; W Capital'!$D$16))+(C148*'5.Closing Stock &amp; W Capital'!$D$16))*$C207*F$172</f>
        <v>0</v>
      </c>
      <c r="G207" s="168">
        <f>((E148*(1-'5.Closing Stock &amp; W Capital'!$D$16))+(D148*'5.Closing Stock &amp; W Capital'!$D$16))*$C207*G$172</f>
        <v>0</v>
      </c>
      <c r="H207" s="168">
        <f>((F148*(1-'5.Closing Stock &amp; W Capital'!$D$16))+(E148*'5.Closing Stock &amp; W Capital'!$D$16))*$C207*H$172</f>
        <v>0</v>
      </c>
      <c r="I207" s="168">
        <f>((G148*(1-'5.Closing Stock &amp; W Capital'!$D$16))+(F148*'5.Closing Stock &amp; W Capital'!$D$16))*$C207*I$172</f>
        <v>0</v>
      </c>
      <c r="J207" s="168">
        <f>((H148*(1-'5.Closing Stock &amp; W Capital'!$D$16))+(G148*'5.Closing Stock &amp; W Capital'!$D$16))*$C207*J$172</f>
        <v>0</v>
      </c>
      <c r="K207" s="73"/>
      <c r="L207" s="73"/>
    </row>
    <row r="208" spans="1:12">
      <c r="A208" s="76">
        <f t="shared" si="33"/>
        <v>0</v>
      </c>
      <c r="B208" s="74" t="s">
        <v>363</v>
      </c>
      <c r="C208" s="207"/>
      <c r="D208" s="168">
        <f>(B149*(1-'5.Closing Stock &amp; W Capital'!$D$16))*$C208*D$172</f>
        <v>0</v>
      </c>
      <c r="E208" s="168">
        <f>((C149*(1-'5.Closing Stock &amp; W Capital'!$D$16))+(B149*'5.Closing Stock &amp; W Capital'!$D$16))*$C208*E$172</f>
        <v>0</v>
      </c>
      <c r="F208" s="168">
        <f>((D149*(1-'5.Closing Stock &amp; W Capital'!$D$16))+(C149*'5.Closing Stock &amp; W Capital'!$D$16))*$C208*F$172</f>
        <v>0</v>
      </c>
      <c r="G208" s="168">
        <f>((E149*(1-'5.Closing Stock &amp; W Capital'!$D$16))+(D149*'5.Closing Stock &amp; W Capital'!$D$16))*$C208*G$172</f>
        <v>0</v>
      </c>
      <c r="H208" s="168">
        <f>((F149*(1-'5.Closing Stock &amp; W Capital'!$D$16))+(E149*'5.Closing Stock &amp; W Capital'!$D$16))*$C208*H$172</f>
        <v>0</v>
      </c>
      <c r="I208" s="168">
        <f>((G149*(1-'5.Closing Stock &amp; W Capital'!$D$16))+(F149*'5.Closing Stock &amp; W Capital'!$D$16))*$C208*I$172</f>
        <v>0</v>
      </c>
      <c r="J208" s="168">
        <f>((H149*(1-'5.Closing Stock &amp; W Capital'!$D$16))+(G149*'5.Closing Stock &amp; W Capital'!$D$16))*$C208*J$172</f>
        <v>0</v>
      </c>
      <c r="K208" s="73"/>
      <c r="L208" s="73"/>
    </row>
    <row r="209" spans="1:12">
      <c r="A209" s="76">
        <f t="shared" si="33"/>
        <v>0</v>
      </c>
      <c r="B209" s="74" t="s">
        <v>363</v>
      </c>
      <c r="C209" s="207"/>
      <c r="D209" s="168">
        <f>(B150*(1-'5.Closing Stock &amp; W Capital'!$D$16))*$C209*D$172</f>
        <v>0</v>
      </c>
      <c r="E209" s="168">
        <f>((C150*(1-'5.Closing Stock &amp; W Capital'!$D$16))+(B150*'5.Closing Stock &amp; W Capital'!$D$16))*$C209*E$172</f>
        <v>0</v>
      </c>
      <c r="F209" s="168">
        <f>((D150*(1-'5.Closing Stock &amp; W Capital'!$D$16))+(C150*'5.Closing Stock &amp; W Capital'!$D$16))*$C209*F$172</f>
        <v>0</v>
      </c>
      <c r="G209" s="168">
        <f>((E150*(1-'5.Closing Stock &amp; W Capital'!$D$16))+(D150*'5.Closing Stock &amp; W Capital'!$D$16))*$C209*G$172</f>
        <v>0</v>
      </c>
      <c r="H209" s="168">
        <f>((F150*(1-'5.Closing Stock &amp; W Capital'!$D$16))+(E150*'5.Closing Stock &amp; W Capital'!$D$16))*$C209*H$172</f>
        <v>0</v>
      </c>
      <c r="I209" s="168">
        <f>((G150*(1-'5.Closing Stock &amp; W Capital'!$D$16))+(F150*'5.Closing Stock &amp; W Capital'!$D$16))*$C209*I$172</f>
        <v>0</v>
      </c>
      <c r="J209" s="168">
        <f>((H150*(1-'5.Closing Stock &amp; W Capital'!$D$16))+(G150*'5.Closing Stock &amp; W Capital'!$D$16))*$C209*J$172</f>
        <v>0</v>
      </c>
      <c r="K209" s="73"/>
      <c r="L209" s="73"/>
    </row>
    <row r="210" spans="1:12">
      <c r="A210" s="76">
        <f t="shared" si="33"/>
        <v>0</v>
      </c>
      <c r="B210" s="74" t="s">
        <v>363</v>
      </c>
      <c r="C210" s="207"/>
      <c r="D210" s="168">
        <f>(B151*(1-'5.Closing Stock &amp; W Capital'!$D$16))*$C210*D$172</f>
        <v>0</v>
      </c>
      <c r="E210" s="168">
        <f>((C151*(1-'5.Closing Stock &amp; W Capital'!$D$16))+(B151*'5.Closing Stock &amp; W Capital'!$D$16))*$C210*E$172</f>
        <v>0</v>
      </c>
      <c r="F210" s="168">
        <f>((D151*(1-'5.Closing Stock &amp; W Capital'!$D$16))+(C151*'5.Closing Stock &amp; W Capital'!$D$16))*$C210*F$172</f>
        <v>0</v>
      </c>
      <c r="G210" s="168">
        <f>((E151*(1-'5.Closing Stock &amp; W Capital'!$D$16))+(D151*'5.Closing Stock &amp; W Capital'!$D$16))*$C210*G$172</f>
        <v>0</v>
      </c>
      <c r="H210" s="168">
        <f>((F151*(1-'5.Closing Stock &amp; W Capital'!$D$16))+(E151*'5.Closing Stock &amp; W Capital'!$D$16))*$C210*H$172</f>
        <v>0</v>
      </c>
      <c r="I210" s="168">
        <f>((G151*(1-'5.Closing Stock &amp; W Capital'!$D$16))+(F151*'5.Closing Stock &amp; W Capital'!$D$16))*$C210*I$172</f>
        <v>0</v>
      </c>
      <c r="J210" s="168">
        <f>((H151*(1-'5.Closing Stock &amp; W Capital'!$D$16))+(G151*'5.Closing Stock &amp; W Capital'!$D$16))*$C210*J$172</f>
        <v>0</v>
      </c>
      <c r="K210" s="73"/>
      <c r="L210" s="73"/>
    </row>
    <row r="211" spans="1:12">
      <c r="A211" s="76">
        <f t="shared" si="33"/>
        <v>0</v>
      </c>
      <c r="B211" s="74" t="s">
        <v>363</v>
      </c>
      <c r="C211" s="207"/>
      <c r="D211" s="168">
        <f>(B152*(1-'5.Closing Stock &amp; W Capital'!$D$16))*$C211*D$172</f>
        <v>0</v>
      </c>
      <c r="E211" s="168">
        <f>((C152*(1-'5.Closing Stock &amp; W Capital'!$D$16))+(B152*'5.Closing Stock &amp; W Capital'!$D$16))*$C211*E$172</f>
        <v>0</v>
      </c>
      <c r="F211" s="168">
        <f>((D152*(1-'5.Closing Stock &amp; W Capital'!$D$16))+(C152*'5.Closing Stock &amp; W Capital'!$D$16))*$C211*F$172</f>
        <v>0</v>
      </c>
      <c r="G211" s="168">
        <f>((E152*(1-'5.Closing Stock &amp; W Capital'!$D$16))+(D152*'5.Closing Stock &amp; W Capital'!$D$16))*$C211*G$172</f>
        <v>0</v>
      </c>
      <c r="H211" s="168">
        <f>((F152*(1-'5.Closing Stock &amp; W Capital'!$D$16))+(E152*'5.Closing Stock &amp; W Capital'!$D$16))*$C211*H$172</f>
        <v>0</v>
      </c>
      <c r="I211" s="168">
        <f>((G152*(1-'5.Closing Stock &amp; W Capital'!$D$16))+(F152*'5.Closing Stock &amp; W Capital'!$D$16))*$C211*I$172</f>
        <v>0</v>
      </c>
      <c r="J211" s="168">
        <f>((H152*(1-'5.Closing Stock &amp; W Capital'!$D$16))+(G152*'5.Closing Stock &amp; W Capital'!$D$16))*$C211*J$172</f>
        <v>0</v>
      </c>
      <c r="K211" s="73"/>
      <c r="L211" s="73"/>
    </row>
    <row r="212" spans="1:12">
      <c r="A212" s="76" t="str">
        <f t="shared" si="33"/>
        <v>Onion</v>
      </c>
      <c r="B212" s="74" t="s">
        <v>363</v>
      </c>
      <c r="C212" s="230">
        <v>2000</v>
      </c>
      <c r="D212" s="168">
        <f>(B153*(1-'5.Closing Stock &amp; W Capital'!$D$16))*$C212*D$172</f>
        <v>0</v>
      </c>
      <c r="E212" s="168">
        <f>((C153*(1-'5.Closing Stock &amp; W Capital'!$D$16))+(B153*'5.Closing Stock &amp; W Capital'!$D$16))*$C212*E$172</f>
        <v>0</v>
      </c>
      <c r="F212" s="168">
        <f>((D153*(1-'5.Closing Stock &amp; W Capital'!$D$16))+(C153*'5.Closing Stock &amp; W Capital'!$D$16))*$C212*F$172</f>
        <v>0</v>
      </c>
      <c r="G212" s="168">
        <f>((E153*(1-'5.Closing Stock &amp; W Capital'!$D$16))+(D153*'5.Closing Stock &amp; W Capital'!$D$16))*$C212*G$172</f>
        <v>0</v>
      </c>
      <c r="H212" s="168">
        <f>((F153*(1-'5.Closing Stock &amp; W Capital'!$D$16))+(E153*'5.Closing Stock &amp; W Capital'!$D$16))*$C212*H$172</f>
        <v>0</v>
      </c>
      <c r="I212" s="168">
        <f>((G153*(1-'5.Closing Stock &amp; W Capital'!$D$16))+(F153*'5.Closing Stock &amp; W Capital'!$D$16))*$C212*I$172</f>
        <v>0</v>
      </c>
      <c r="J212" s="168">
        <f>((H153*(1-'5.Closing Stock &amp; W Capital'!$D$16))+(G153*'5.Closing Stock &amp; W Capital'!$D$16))*$C212*J$172</f>
        <v>0</v>
      </c>
      <c r="K212" s="73"/>
      <c r="L212" s="73"/>
    </row>
    <row r="213" spans="1:12">
      <c r="A213" s="76" t="str">
        <f t="shared" si="33"/>
        <v>Tomato</v>
      </c>
      <c r="B213" s="74" t="s">
        <v>363</v>
      </c>
      <c r="C213" s="230">
        <v>1000</v>
      </c>
      <c r="D213" s="168">
        <f>(B154*(1-'5.Closing Stock &amp; W Capital'!$D$16))*$C213*D$172</f>
        <v>0</v>
      </c>
      <c r="E213" s="168">
        <f>((C154*(1-'5.Closing Stock &amp; W Capital'!$D$16))+(B154*'5.Closing Stock &amp; W Capital'!$D$16))*$C213*E$172</f>
        <v>0</v>
      </c>
      <c r="F213" s="168">
        <f>((D154*(1-'5.Closing Stock &amp; W Capital'!$D$16))+(C154*'5.Closing Stock &amp; W Capital'!$D$16))*$C213*F$172</f>
        <v>0</v>
      </c>
      <c r="G213" s="168">
        <f>((E154*(1-'5.Closing Stock &amp; W Capital'!$D$16))+(D154*'5.Closing Stock &amp; W Capital'!$D$16))*$C213*G$172</f>
        <v>0</v>
      </c>
      <c r="H213" s="168">
        <f>((F154*(1-'5.Closing Stock &amp; W Capital'!$D$16))+(E154*'5.Closing Stock &amp; W Capital'!$D$16))*$C213*H$172</f>
        <v>0</v>
      </c>
      <c r="I213" s="168">
        <f>((G154*(1-'5.Closing Stock &amp; W Capital'!$D$16))+(F154*'5.Closing Stock &amp; W Capital'!$D$16))*$C213*I$172</f>
        <v>0</v>
      </c>
      <c r="J213" s="168">
        <f>((H154*(1-'5.Closing Stock &amp; W Capital'!$D$16))+(G154*'5.Closing Stock &amp; W Capital'!$D$16))*$C213*J$172</f>
        <v>0</v>
      </c>
      <c r="K213" s="73"/>
      <c r="L213" s="73"/>
    </row>
    <row r="214" spans="1:12">
      <c r="A214" s="76" t="str">
        <f t="shared" si="33"/>
        <v>Okra</v>
      </c>
      <c r="B214" s="74" t="s">
        <v>363</v>
      </c>
      <c r="C214" s="230">
        <v>1500</v>
      </c>
      <c r="D214" s="168">
        <f>(B155*(1-'5.Closing Stock &amp; W Capital'!$D$16))*$C214*D$172</f>
        <v>0</v>
      </c>
      <c r="E214" s="168">
        <f>((C155*(1-'5.Closing Stock &amp; W Capital'!$D$16))+(B155*'5.Closing Stock &amp; W Capital'!$D$16))*$C214*E$172</f>
        <v>0</v>
      </c>
      <c r="F214" s="168">
        <f>((D155*(1-'5.Closing Stock &amp; W Capital'!$D$16))+(C155*'5.Closing Stock &amp; W Capital'!$D$16))*$C214*F$172</f>
        <v>0</v>
      </c>
      <c r="G214" s="168">
        <f>((E155*(1-'5.Closing Stock &amp; W Capital'!$D$16))+(D155*'5.Closing Stock &amp; W Capital'!$D$16))*$C214*G$172</f>
        <v>0</v>
      </c>
      <c r="H214" s="168">
        <f>((F155*(1-'5.Closing Stock &amp; W Capital'!$D$16))+(E155*'5.Closing Stock &amp; W Capital'!$D$16))*$C214*H$172</f>
        <v>0</v>
      </c>
      <c r="I214" s="168">
        <f>((G155*(1-'5.Closing Stock &amp; W Capital'!$D$16))+(F155*'5.Closing Stock &amp; W Capital'!$D$16))*$C214*I$172</f>
        <v>0</v>
      </c>
      <c r="J214" s="168">
        <f>((H155*(1-'5.Closing Stock &amp; W Capital'!$D$16))+(G155*'5.Closing Stock &amp; W Capital'!$D$16))*$C214*J$172</f>
        <v>0</v>
      </c>
      <c r="K214" s="73"/>
      <c r="L214" s="73"/>
    </row>
    <row r="215" spans="1:12">
      <c r="A215" s="76" t="str">
        <f t="shared" si="33"/>
        <v>Chilli</v>
      </c>
      <c r="B215" s="74" t="s">
        <v>363</v>
      </c>
      <c r="C215" s="230">
        <v>3000</v>
      </c>
      <c r="D215" s="168">
        <f>(B156*(1-'5.Closing Stock &amp; W Capital'!$D$16))*$C215*D$172</f>
        <v>0</v>
      </c>
      <c r="E215" s="168">
        <f>((C156*(1-'5.Closing Stock &amp; W Capital'!$D$16))+(B156*'5.Closing Stock &amp; W Capital'!$D$16))*$C215*E$172</f>
        <v>0</v>
      </c>
      <c r="F215" s="168">
        <f>((D156*(1-'5.Closing Stock &amp; W Capital'!$D$16))+(C156*'5.Closing Stock &amp; W Capital'!$D$16))*$C215*F$172</f>
        <v>0</v>
      </c>
      <c r="G215" s="168">
        <f>((E156*(1-'5.Closing Stock &amp; W Capital'!$D$16))+(D156*'5.Closing Stock &amp; W Capital'!$D$16))*$C215*G$172</f>
        <v>0</v>
      </c>
      <c r="H215" s="168">
        <f>((F156*(1-'5.Closing Stock &amp; W Capital'!$D$16))+(E156*'5.Closing Stock &amp; W Capital'!$D$16))*$C215*H$172</f>
        <v>0</v>
      </c>
      <c r="I215" s="168">
        <f>((G156*(1-'5.Closing Stock &amp; W Capital'!$D$16))+(F156*'5.Closing Stock &amp; W Capital'!$D$16))*$C215*I$172</f>
        <v>0</v>
      </c>
      <c r="J215" s="168">
        <f>((H156*(1-'5.Closing Stock &amp; W Capital'!$D$16))+(G156*'5.Closing Stock &amp; W Capital'!$D$16))*$C215*J$172</f>
        <v>0</v>
      </c>
      <c r="K215" s="73"/>
      <c r="L215" s="73"/>
    </row>
    <row r="216" spans="1:12">
      <c r="A216" s="76" t="str">
        <f t="shared" si="33"/>
        <v>Brinjal</v>
      </c>
      <c r="B216" s="74" t="s">
        <v>363</v>
      </c>
      <c r="C216" s="230">
        <v>2000</v>
      </c>
      <c r="D216" s="168">
        <f>(B157*(1-'5.Closing Stock &amp; W Capital'!$D$16))*$C216*D$172</f>
        <v>0</v>
      </c>
      <c r="E216" s="168">
        <f>((C157*(1-'5.Closing Stock &amp; W Capital'!$D$16))+(B157*'5.Closing Stock &amp; W Capital'!$D$16))*$C216*E$172</f>
        <v>0</v>
      </c>
      <c r="F216" s="168">
        <f>((D157*(1-'5.Closing Stock &amp; W Capital'!$D$16))+(C157*'5.Closing Stock &amp; W Capital'!$D$16))*$C216*F$172</f>
        <v>0</v>
      </c>
      <c r="G216" s="168">
        <f>((E157*(1-'5.Closing Stock &amp; W Capital'!$D$16))+(D157*'5.Closing Stock &amp; W Capital'!$D$16))*$C216*G$172</f>
        <v>0</v>
      </c>
      <c r="H216" s="168">
        <f>((F157*(1-'5.Closing Stock &amp; W Capital'!$D$16))+(E157*'5.Closing Stock &amp; W Capital'!$D$16))*$C216*H$172</f>
        <v>0</v>
      </c>
      <c r="I216" s="168">
        <f>((G157*(1-'5.Closing Stock &amp; W Capital'!$D$16))+(F157*'5.Closing Stock &amp; W Capital'!$D$16))*$C216*I$172</f>
        <v>0</v>
      </c>
      <c r="J216" s="168">
        <f>((H157*(1-'5.Closing Stock &amp; W Capital'!$D$16))+(G157*'5.Closing Stock &amp; W Capital'!$D$16))*$C216*J$172</f>
        <v>0</v>
      </c>
      <c r="K216" s="73"/>
      <c r="L216" s="73"/>
    </row>
    <row r="217" spans="1:12">
      <c r="A217" s="76">
        <f t="shared" si="33"/>
        <v>0</v>
      </c>
      <c r="B217" s="74" t="s">
        <v>363</v>
      </c>
      <c r="C217" s="230"/>
      <c r="D217" s="168">
        <f>(B158*(1-'5.Closing Stock &amp; W Capital'!$D$16))*$C217*D$172</f>
        <v>0</v>
      </c>
      <c r="E217" s="168">
        <f>((C158*(1-'5.Closing Stock &amp; W Capital'!$D$16))+(B158*'5.Closing Stock &amp; W Capital'!$D$16))*$C217*E$172</f>
        <v>0</v>
      </c>
      <c r="F217" s="168">
        <f>((D158*(1-'5.Closing Stock &amp; W Capital'!$D$16))+(C158*'5.Closing Stock &amp; W Capital'!$D$16))*$C217*F$172</f>
        <v>0</v>
      </c>
      <c r="G217" s="168">
        <f>((E158*(1-'5.Closing Stock &amp; W Capital'!$D$16))+(D158*'5.Closing Stock &amp; W Capital'!$D$16))*$C217*G$172</f>
        <v>0</v>
      </c>
      <c r="H217" s="168">
        <f>((F158*(1-'5.Closing Stock &amp; W Capital'!$D$16))+(E158*'5.Closing Stock &amp; W Capital'!$D$16))*$C217*H$172</f>
        <v>0</v>
      </c>
      <c r="I217" s="168">
        <f>((G158*(1-'5.Closing Stock &amp; W Capital'!$D$16))+(F158*'5.Closing Stock &amp; W Capital'!$D$16))*$C217*I$172</f>
        <v>0</v>
      </c>
      <c r="J217" s="168">
        <f>((H158*(1-'5.Closing Stock &amp; W Capital'!$D$16))+(G158*'5.Closing Stock &amp; W Capital'!$D$16))*$C217*J$172</f>
        <v>0</v>
      </c>
      <c r="K217" s="73"/>
      <c r="L217" s="73"/>
    </row>
    <row r="218" spans="1:12">
      <c r="A218" s="76">
        <f t="shared" si="33"/>
        <v>0</v>
      </c>
      <c r="B218" s="74" t="s">
        <v>363</v>
      </c>
      <c r="C218" s="230"/>
      <c r="D218" s="168">
        <f>(B159*(1-'5.Closing Stock &amp; W Capital'!$D$16))*$C218*D$172</f>
        <v>0</v>
      </c>
      <c r="E218" s="168">
        <f>((C159*(1-'5.Closing Stock &amp; W Capital'!$D$16))+(B159*'5.Closing Stock &amp; W Capital'!$D$16))*$C218*E$172</f>
        <v>0</v>
      </c>
      <c r="F218" s="168">
        <f>((D159*(1-'5.Closing Stock &amp; W Capital'!$D$16))+(C159*'5.Closing Stock &amp; W Capital'!$D$16))*$C218*F$172</f>
        <v>0</v>
      </c>
      <c r="G218" s="168">
        <f>((E159*(1-'5.Closing Stock &amp; W Capital'!$D$16))+(D159*'5.Closing Stock &amp; W Capital'!$D$16))*$C218*G$172</f>
        <v>0</v>
      </c>
      <c r="H218" s="168">
        <f>((F159*(1-'5.Closing Stock &amp; W Capital'!$D$16))+(E159*'5.Closing Stock &amp; W Capital'!$D$16))*$C218*H$172</f>
        <v>0</v>
      </c>
      <c r="I218" s="168">
        <f>((G159*(1-'5.Closing Stock &amp; W Capital'!$D$16))+(F159*'5.Closing Stock &amp; W Capital'!$D$16))*$C218*I$172</f>
        <v>0</v>
      </c>
      <c r="J218" s="168">
        <f>((H159*(1-'5.Closing Stock &amp; W Capital'!$D$16))+(G159*'5.Closing Stock &amp; W Capital'!$D$16))*$C218*J$172</f>
        <v>0</v>
      </c>
      <c r="K218" s="73"/>
      <c r="L218" s="73"/>
    </row>
    <row r="219" spans="1:12">
      <c r="A219" s="76">
        <f t="shared" si="33"/>
        <v>0</v>
      </c>
      <c r="B219" s="74" t="s">
        <v>363</v>
      </c>
      <c r="C219" s="230"/>
      <c r="D219" s="168">
        <f>(B160*(1-'5.Closing Stock &amp; W Capital'!$D$16))*$C219*D$172</f>
        <v>0</v>
      </c>
      <c r="E219" s="168">
        <f>((C160*(1-'5.Closing Stock &amp; W Capital'!$D$16))+(B160*'5.Closing Stock &amp; W Capital'!$D$16))*$C219*E$172</f>
        <v>0</v>
      </c>
      <c r="F219" s="168">
        <f>((D160*(1-'5.Closing Stock &amp; W Capital'!$D$16))+(C160*'5.Closing Stock &amp; W Capital'!$D$16))*$C219*F$172</f>
        <v>0</v>
      </c>
      <c r="G219" s="168">
        <f>((E160*(1-'5.Closing Stock &amp; W Capital'!$D$16))+(D160*'5.Closing Stock &amp; W Capital'!$D$16))*$C219*G$172</f>
        <v>0</v>
      </c>
      <c r="H219" s="168">
        <f>((F160*(1-'5.Closing Stock &amp; W Capital'!$D$16))+(E160*'5.Closing Stock &amp; W Capital'!$D$16))*$C219*H$172</f>
        <v>0</v>
      </c>
      <c r="I219" s="168">
        <f>((G160*(1-'5.Closing Stock &amp; W Capital'!$D$16))+(F160*'5.Closing Stock &amp; W Capital'!$D$16))*$C219*I$172</f>
        <v>0</v>
      </c>
      <c r="J219" s="168">
        <f>((H160*(1-'5.Closing Stock &amp; W Capital'!$D$16))+(G160*'5.Closing Stock &amp; W Capital'!$D$16))*$C219*J$172</f>
        <v>0</v>
      </c>
      <c r="K219" s="73"/>
      <c r="L219" s="73"/>
    </row>
    <row r="220" spans="1:12">
      <c r="A220" s="76">
        <f t="shared" si="33"/>
        <v>0</v>
      </c>
      <c r="B220" s="74" t="s">
        <v>363</v>
      </c>
      <c r="C220" s="230"/>
      <c r="D220" s="168">
        <f>(B161*(1-'5.Closing Stock &amp; W Capital'!$D$16))*$C220*D$172</f>
        <v>0</v>
      </c>
      <c r="E220" s="168">
        <f>((C161*(1-'5.Closing Stock &amp; W Capital'!$D$16))+(B161*'5.Closing Stock &amp; W Capital'!$D$16))*$C220*E$172</f>
        <v>0</v>
      </c>
      <c r="F220" s="168">
        <f>((D161*(1-'5.Closing Stock &amp; W Capital'!$D$16))+(C161*'5.Closing Stock &amp; W Capital'!$D$16))*$C220*F$172</f>
        <v>0</v>
      </c>
      <c r="G220" s="168">
        <f>((E161*(1-'5.Closing Stock &amp; W Capital'!$D$16))+(D161*'5.Closing Stock &amp; W Capital'!$D$16))*$C220*G$172</f>
        <v>0</v>
      </c>
      <c r="H220" s="168">
        <f>((F161*(1-'5.Closing Stock &amp; W Capital'!$D$16))+(E161*'5.Closing Stock &amp; W Capital'!$D$16))*$C220*H$172</f>
        <v>0</v>
      </c>
      <c r="I220" s="168">
        <f>((G161*(1-'5.Closing Stock &amp; W Capital'!$D$16))+(F161*'5.Closing Stock &amp; W Capital'!$D$16))*$C220*I$172</f>
        <v>0</v>
      </c>
      <c r="J220" s="168">
        <f>((H161*(1-'5.Closing Stock &amp; W Capital'!$D$16))+(G161*'5.Closing Stock &amp; W Capital'!$D$16))*$C220*J$172</f>
        <v>0</v>
      </c>
      <c r="K220" s="73"/>
      <c r="L220" s="73"/>
    </row>
    <row r="221" spans="1:12">
      <c r="A221" s="76">
        <f t="shared" ref="A221:A223" si="34">A162</f>
        <v>0</v>
      </c>
      <c r="B221" s="74" t="s">
        <v>363</v>
      </c>
      <c r="C221" s="230"/>
      <c r="D221" s="168">
        <f>(B162*(1-'5.Closing Stock &amp; W Capital'!$D$16))*$C221*D$172</f>
        <v>0</v>
      </c>
      <c r="E221" s="168">
        <f>((C162*(1-'5.Closing Stock &amp; W Capital'!$D$16))+(B162*'5.Closing Stock &amp; W Capital'!$D$16))*$C221*E$172</f>
        <v>0</v>
      </c>
      <c r="F221" s="168">
        <f>((D162*(1-'5.Closing Stock &amp; W Capital'!$D$16))+(C162*'5.Closing Stock &amp; W Capital'!$D$16))*$C221*F$172</f>
        <v>0</v>
      </c>
      <c r="G221" s="168">
        <f>((E162*(1-'5.Closing Stock &amp; W Capital'!$D$16))+(D162*'5.Closing Stock &amp; W Capital'!$D$16))*$C221*G$172</f>
        <v>0</v>
      </c>
      <c r="H221" s="168">
        <f>((F162*(1-'5.Closing Stock &amp; W Capital'!$D$16))+(E162*'5.Closing Stock &amp; W Capital'!$D$16))*$C221*H$172</f>
        <v>0</v>
      </c>
      <c r="I221" s="168">
        <f>((G162*(1-'5.Closing Stock &amp; W Capital'!$D$16))+(F162*'5.Closing Stock &amp; W Capital'!$D$16))*$C221*I$172</f>
        <v>0</v>
      </c>
      <c r="J221" s="168">
        <f>((H162*(1-'5.Closing Stock &amp; W Capital'!$D$16))+(G162*'5.Closing Stock &amp; W Capital'!$D$16))*$C221*J$172</f>
        <v>0</v>
      </c>
      <c r="K221" s="73"/>
      <c r="L221" s="73"/>
    </row>
    <row r="222" spans="1:12">
      <c r="A222" s="76">
        <f t="shared" si="34"/>
        <v>0</v>
      </c>
      <c r="B222" s="74" t="s">
        <v>363</v>
      </c>
      <c r="C222" s="230"/>
      <c r="D222" s="168">
        <f>(B163*(1-'5.Closing Stock &amp; W Capital'!$D$16))*$C222*D$172</f>
        <v>0</v>
      </c>
      <c r="E222" s="168">
        <f>((C163*(1-'5.Closing Stock &amp; W Capital'!$D$16))+(B163*'5.Closing Stock &amp; W Capital'!$D$16))*$C222*E$172</f>
        <v>0</v>
      </c>
      <c r="F222" s="168">
        <f>((D163*(1-'5.Closing Stock &amp; W Capital'!$D$16))+(C163*'5.Closing Stock &amp; W Capital'!$D$16))*$C222*F$172</f>
        <v>0</v>
      </c>
      <c r="G222" s="168">
        <f>((E163*(1-'5.Closing Stock &amp; W Capital'!$D$16))+(D163*'5.Closing Stock &amp; W Capital'!$D$16))*$C222*G$172</f>
        <v>0</v>
      </c>
      <c r="H222" s="168">
        <f>((F163*(1-'5.Closing Stock &amp; W Capital'!$D$16))+(E163*'5.Closing Stock &amp; W Capital'!$D$16))*$C222*H$172</f>
        <v>0</v>
      </c>
      <c r="I222" s="168">
        <f>((G163*(1-'5.Closing Stock &amp; W Capital'!$D$16))+(F163*'5.Closing Stock &amp; W Capital'!$D$16))*$C222*I$172</f>
        <v>0</v>
      </c>
      <c r="J222" s="168">
        <f>((H163*(1-'5.Closing Stock &amp; W Capital'!$D$16))+(G163*'5.Closing Stock &amp; W Capital'!$D$16))*$C222*J$172</f>
        <v>0</v>
      </c>
      <c r="K222" s="73"/>
      <c r="L222" s="73"/>
    </row>
    <row r="223" spans="1:12">
      <c r="A223" s="76">
        <f t="shared" si="34"/>
        <v>0</v>
      </c>
      <c r="B223" s="74" t="s">
        <v>363</v>
      </c>
      <c r="C223" s="230"/>
      <c r="D223" s="168">
        <f>(B164*(1-'5.Closing Stock &amp; W Capital'!$D$16))*$C223*D$172</f>
        <v>0</v>
      </c>
      <c r="E223" s="168">
        <f>((C164*(1-'5.Closing Stock &amp; W Capital'!$D$16))+(B164*'5.Closing Stock &amp; W Capital'!$D$16))*$C223*E$172</f>
        <v>0</v>
      </c>
      <c r="F223" s="168">
        <f>((D164*(1-'5.Closing Stock &amp; W Capital'!$D$16))+(C164*'5.Closing Stock &amp; W Capital'!$D$16))*$C223*F$172</f>
        <v>0</v>
      </c>
      <c r="G223" s="168">
        <f>((E164*(1-'5.Closing Stock &amp; W Capital'!$D$16))+(D164*'5.Closing Stock &amp; W Capital'!$D$16))*$C223*G$172</f>
        <v>0</v>
      </c>
      <c r="H223" s="168">
        <f>((F164*(1-'5.Closing Stock &amp; W Capital'!$D$16))+(E164*'5.Closing Stock &amp; W Capital'!$D$16))*$C223*H$172</f>
        <v>0</v>
      </c>
      <c r="I223" s="168">
        <f>((G164*(1-'5.Closing Stock &amp; W Capital'!$D$16))+(F164*'5.Closing Stock &amp; W Capital'!$D$16))*$C223*I$172</f>
        <v>0</v>
      </c>
      <c r="J223" s="168">
        <f>((H164*(1-'5.Closing Stock &amp; W Capital'!$D$16))+(G164*'5.Closing Stock &amp; W Capital'!$D$16))*$C223*J$172</f>
        <v>0</v>
      </c>
      <c r="K223" s="73"/>
      <c r="L223" s="73"/>
    </row>
    <row r="224" spans="1:12">
      <c r="A224" s="76" t="str">
        <f t="shared" ref="A224:A227" si="35">A165</f>
        <v>Pomegranate</v>
      </c>
      <c r="B224" s="74" t="s">
        <v>363</v>
      </c>
      <c r="C224" s="230">
        <v>5000</v>
      </c>
      <c r="D224" s="168">
        <f>(B165*(1-'5.Closing Stock &amp; W Capital'!$D$16))*$C224*D$172</f>
        <v>0</v>
      </c>
      <c r="E224" s="168">
        <f>((C165*(1-'5.Closing Stock &amp; W Capital'!$D$16))+(B165*'5.Closing Stock &amp; W Capital'!$D$16))*$C224*E$172</f>
        <v>0</v>
      </c>
      <c r="F224" s="168">
        <f>((D165*(1-'5.Closing Stock &amp; W Capital'!$D$16))+(C165*'5.Closing Stock &amp; W Capital'!$D$16))*$C224*F$172</f>
        <v>0</v>
      </c>
      <c r="G224" s="168">
        <f>((E165*(1-'5.Closing Stock &amp; W Capital'!$D$16))+(D165*'5.Closing Stock &amp; W Capital'!$D$16))*$C224*G$172</f>
        <v>0</v>
      </c>
      <c r="H224" s="168">
        <f>((F165*(1-'5.Closing Stock &amp; W Capital'!$D$16))+(E165*'5.Closing Stock &amp; W Capital'!$D$16))*$C224*H$172</f>
        <v>0</v>
      </c>
      <c r="I224" s="168">
        <f>((G165*(1-'5.Closing Stock &amp; W Capital'!$D$16))+(F165*'5.Closing Stock &amp; W Capital'!$D$16))*$C224*I$172</f>
        <v>0</v>
      </c>
      <c r="J224" s="168">
        <f>((H165*(1-'5.Closing Stock &amp; W Capital'!$D$16))+(G165*'5.Closing Stock &amp; W Capital'!$D$16))*$C224*J$172</f>
        <v>0</v>
      </c>
      <c r="K224" s="73"/>
      <c r="L224" s="73"/>
    </row>
    <row r="225" spans="1:12">
      <c r="A225" s="76" t="str">
        <f t="shared" si="35"/>
        <v>Custard Apple</v>
      </c>
      <c r="B225" s="74" t="s">
        <v>363</v>
      </c>
      <c r="C225" s="230"/>
      <c r="D225" s="168">
        <f>(B166*(1-'5.Closing Stock &amp; W Capital'!$D$16))*$C225*D$172</f>
        <v>0</v>
      </c>
      <c r="E225" s="168">
        <f>((C166*(1-'5.Closing Stock &amp; W Capital'!$D$16))+(B166*'5.Closing Stock &amp; W Capital'!$D$16))*$C225*E$172</f>
        <v>0</v>
      </c>
      <c r="F225" s="168">
        <f>((D166*(1-'5.Closing Stock &amp; W Capital'!$D$16))+(C166*'5.Closing Stock &amp; W Capital'!$D$16))*$C225*F$172</f>
        <v>0</v>
      </c>
      <c r="G225" s="168">
        <f>((E166*(1-'5.Closing Stock &amp; W Capital'!$D$16))+(D166*'5.Closing Stock &amp; W Capital'!$D$16))*$C225*G$172</f>
        <v>0</v>
      </c>
      <c r="H225" s="168">
        <f>((F166*(1-'5.Closing Stock &amp; W Capital'!$D$16))+(E166*'5.Closing Stock &amp; W Capital'!$D$16))*$C225*H$172</f>
        <v>0</v>
      </c>
      <c r="I225" s="168">
        <f>((G166*(1-'5.Closing Stock &amp; W Capital'!$D$16))+(F166*'5.Closing Stock &amp; W Capital'!$D$16))*$C225*I$172</f>
        <v>0</v>
      </c>
      <c r="J225" s="168">
        <f>((H166*(1-'5.Closing Stock &amp; W Capital'!$D$16))+(G166*'5.Closing Stock &amp; W Capital'!$D$16))*$C225*J$172</f>
        <v>0</v>
      </c>
      <c r="K225" s="73"/>
      <c r="L225" s="73"/>
    </row>
    <row r="226" spans="1:12">
      <c r="A226" s="76" t="str">
        <f t="shared" si="35"/>
        <v>Guava</v>
      </c>
      <c r="B226" s="74" t="s">
        <v>363</v>
      </c>
      <c r="C226" s="230"/>
      <c r="D226" s="168">
        <f>(B167*(1-'5.Closing Stock &amp; W Capital'!$D$16))*$C226*D$172</f>
        <v>0</v>
      </c>
      <c r="E226" s="168">
        <f>((C167*(1-'5.Closing Stock &amp; W Capital'!$D$16))+(B167*'5.Closing Stock &amp; W Capital'!$D$16))*$C226*E$172</f>
        <v>0</v>
      </c>
      <c r="F226" s="168">
        <f>((D167*(1-'5.Closing Stock &amp; W Capital'!$D$16))+(C167*'5.Closing Stock &amp; W Capital'!$D$16))*$C226*F$172</f>
        <v>0</v>
      </c>
      <c r="G226" s="168">
        <f>((E167*(1-'5.Closing Stock &amp; W Capital'!$D$16))+(D167*'5.Closing Stock &amp; W Capital'!$D$16))*$C226*G$172</f>
        <v>0</v>
      </c>
      <c r="H226" s="168">
        <f>((F167*(1-'5.Closing Stock &amp; W Capital'!$D$16))+(E167*'5.Closing Stock &amp; W Capital'!$D$16))*$C226*H$172</f>
        <v>0</v>
      </c>
      <c r="I226" s="168">
        <f>((G167*(1-'5.Closing Stock &amp; W Capital'!$D$16))+(F167*'5.Closing Stock &amp; W Capital'!$D$16))*$C226*I$172</f>
        <v>0</v>
      </c>
      <c r="J226" s="168">
        <f>((H167*(1-'5.Closing Stock &amp; W Capital'!$D$16))+(G167*'5.Closing Stock &amp; W Capital'!$D$16))*$C226*J$172</f>
        <v>0</v>
      </c>
      <c r="K226" s="73"/>
      <c r="L226" s="73"/>
    </row>
    <row r="227" spans="1:12">
      <c r="A227" s="76" t="str">
        <f t="shared" si="35"/>
        <v>Citrus</v>
      </c>
      <c r="B227" s="74" t="s">
        <v>363</v>
      </c>
      <c r="C227" s="230"/>
      <c r="D227" s="168">
        <f>(B168*(1-'5.Closing Stock &amp; W Capital'!$D$16))*$C227*D$172</f>
        <v>0</v>
      </c>
      <c r="E227" s="168">
        <f>((C168*(1-'5.Closing Stock &amp; W Capital'!$D$16))+(B168*'5.Closing Stock &amp; W Capital'!$D$16))*$C227*E$172</f>
        <v>0</v>
      </c>
      <c r="F227" s="168">
        <f>((D168*(1-'5.Closing Stock &amp; W Capital'!$D$16))+(C168*'5.Closing Stock &amp; W Capital'!$D$16))*$C227*F$172</f>
        <v>0</v>
      </c>
      <c r="G227" s="168">
        <f>((E168*(1-'5.Closing Stock &amp; W Capital'!$D$16))+(D168*'5.Closing Stock &amp; W Capital'!$D$16))*$C227*G$172</f>
        <v>0</v>
      </c>
      <c r="H227" s="168">
        <f>((F168*(1-'5.Closing Stock &amp; W Capital'!$D$16))+(E168*'5.Closing Stock &amp; W Capital'!$D$16))*$C227*H$172</f>
        <v>0</v>
      </c>
      <c r="I227" s="168">
        <f>((G168*(1-'5.Closing Stock &amp; W Capital'!$D$16))+(F168*'5.Closing Stock &amp; W Capital'!$D$16))*$C227*I$172</f>
        <v>0</v>
      </c>
      <c r="J227" s="168">
        <f>((H168*(1-'5.Closing Stock &amp; W Capital'!$D$16))+(G168*'5.Closing Stock &amp; W Capital'!$D$16))*$C227*J$172</f>
        <v>0</v>
      </c>
      <c r="K227" s="73"/>
      <c r="L227" s="73"/>
    </row>
    <row r="228" spans="1:12">
      <c r="A228" s="76"/>
      <c r="B228" s="76"/>
      <c r="C228" s="76"/>
      <c r="D228" s="74"/>
      <c r="E228" s="74"/>
      <c r="F228" s="74"/>
      <c r="G228" s="74"/>
      <c r="H228" s="74"/>
      <c r="I228" s="74"/>
      <c r="J228" s="74"/>
      <c r="K228" s="73"/>
      <c r="L228" s="73"/>
    </row>
    <row r="229" spans="1:12">
      <c r="A229" s="76" t="s">
        <v>143</v>
      </c>
      <c r="B229" s="76"/>
      <c r="C229" s="76"/>
      <c r="D229" s="170">
        <f t="shared" ref="D229:J229" si="36">SUM(D178:D228)</f>
        <v>16814849.749083001</v>
      </c>
      <c r="E229" s="170">
        <f t="shared" si="36"/>
        <v>21625689.506682746</v>
      </c>
      <c r="F229" s="170">
        <f t="shared" si="36"/>
        <v>26122183.229594994</v>
      </c>
      <c r="G229" s="170">
        <f t="shared" si="36"/>
        <v>29435796.422369998</v>
      </c>
      <c r="H229" s="170">
        <f t="shared" si="36"/>
        <v>32734845.952694997</v>
      </c>
      <c r="I229" s="170">
        <f t="shared" si="36"/>
        <v>36035990.974019989</v>
      </c>
      <c r="J229" s="170">
        <f t="shared" si="36"/>
        <v>39339231.486345001</v>
      </c>
      <c r="K229" s="73"/>
      <c r="L229" s="73"/>
    </row>
    <row r="230" spans="1:12">
      <c r="A230" s="74"/>
      <c r="B230" s="74"/>
      <c r="C230" s="74"/>
      <c r="D230" s="74"/>
      <c r="E230" s="74"/>
      <c r="F230" s="74"/>
      <c r="G230" s="74"/>
      <c r="H230" s="74"/>
      <c r="I230" s="74"/>
      <c r="J230" s="74"/>
      <c r="K230" s="73"/>
      <c r="L230" s="73"/>
    </row>
    <row r="231" spans="1:12">
      <c r="A231" s="76" t="s">
        <v>142</v>
      </c>
      <c r="B231" s="76"/>
      <c r="C231" s="76"/>
      <c r="D231" s="74"/>
      <c r="E231" s="74"/>
      <c r="F231" s="74"/>
      <c r="G231" s="74"/>
      <c r="H231" s="74"/>
      <c r="I231" s="74"/>
      <c r="J231" s="74"/>
      <c r="K231" s="73"/>
      <c r="L231" s="73"/>
    </row>
    <row r="232" spans="1:12">
      <c r="A232" s="76" t="s">
        <v>308</v>
      </c>
      <c r="B232" s="76"/>
      <c r="C232" s="74"/>
      <c r="D232" s="74"/>
      <c r="E232" s="74"/>
      <c r="F232" s="74"/>
      <c r="G232" s="74"/>
      <c r="H232" s="74"/>
      <c r="I232" s="74"/>
      <c r="J232" s="74"/>
      <c r="K232" s="73"/>
      <c r="L232" s="73"/>
    </row>
    <row r="233" spans="1:12">
      <c r="A233" s="74" t="str">
        <f t="shared" ref="A233:A254" si="37">A178</f>
        <v>Soybean</v>
      </c>
      <c r="B233" s="74" t="s">
        <v>363</v>
      </c>
      <c r="C233" s="226">
        <v>3700</v>
      </c>
      <c r="D233" s="75">
        <f>B68*$C$234*D$172</f>
        <v>0</v>
      </c>
      <c r="E233" s="75">
        <f>C68*$C$233*E$172</f>
        <v>0</v>
      </c>
      <c r="F233" s="75">
        <f>D68*$C$233*F172</f>
        <v>0</v>
      </c>
      <c r="G233" s="75">
        <f>E68*$C$233*G172</f>
        <v>0</v>
      </c>
      <c r="H233" s="75">
        <f>F68*$C$233*H172</f>
        <v>0</v>
      </c>
      <c r="I233" s="75">
        <f>G68*$C$233*I172</f>
        <v>0</v>
      </c>
      <c r="J233" s="75">
        <f>H68*$C$233*J172</f>
        <v>0</v>
      </c>
      <c r="K233" s="73"/>
      <c r="L233" s="73"/>
    </row>
    <row r="234" spans="1:12">
      <c r="A234" s="74" t="str">
        <f t="shared" si="37"/>
        <v>Red Gram/Tur</v>
      </c>
      <c r="B234" s="74" t="s">
        <v>363</v>
      </c>
      <c r="C234" s="226">
        <v>5400</v>
      </c>
      <c r="D234" s="75">
        <f>B69*$C$234*D$172</f>
        <v>6299434.7999999998</v>
      </c>
      <c r="E234" s="75">
        <f t="shared" ref="E234:J234" si="38">C69*$C$234*E172</f>
        <v>7757637.2999999998</v>
      </c>
      <c r="F234" s="75">
        <f t="shared" si="38"/>
        <v>9332496</v>
      </c>
      <c r="G234" s="75">
        <f t="shared" si="38"/>
        <v>10499058</v>
      </c>
      <c r="H234" s="75">
        <f t="shared" si="38"/>
        <v>11665619.999999998</v>
      </c>
      <c r="I234" s="75">
        <f t="shared" si="38"/>
        <v>12832182</v>
      </c>
      <c r="J234" s="75">
        <f t="shared" si="38"/>
        <v>13998744</v>
      </c>
      <c r="K234" s="73"/>
      <c r="L234" s="73"/>
    </row>
    <row r="235" spans="1:12">
      <c r="A235" s="74" t="str">
        <f t="shared" si="37"/>
        <v>Paddy/Rice</v>
      </c>
      <c r="B235" s="74" t="s">
        <v>363</v>
      </c>
      <c r="C235" s="226"/>
      <c r="D235" s="75">
        <f>B70*$C$235*D$172</f>
        <v>0</v>
      </c>
      <c r="E235" s="75">
        <f t="shared" ref="E235:J235" si="39">C70*$C$235*E172</f>
        <v>0</v>
      </c>
      <c r="F235" s="75">
        <f t="shared" si="39"/>
        <v>0</v>
      </c>
      <c r="G235" s="75">
        <f t="shared" si="39"/>
        <v>0</v>
      </c>
      <c r="H235" s="75">
        <f t="shared" si="39"/>
        <v>0</v>
      </c>
      <c r="I235" s="75">
        <f t="shared" si="39"/>
        <v>0</v>
      </c>
      <c r="J235" s="75">
        <f t="shared" si="39"/>
        <v>0</v>
      </c>
      <c r="K235" s="73"/>
      <c r="L235" s="73"/>
    </row>
    <row r="236" spans="1:12">
      <c r="A236" s="74" t="str">
        <f t="shared" si="37"/>
        <v>Green Gram/ Moong</v>
      </c>
      <c r="B236" s="74" t="s">
        <v>363</v>
      </c>
      <c r="C236" s="226">
        <v>5400</v>
      </c>
      <c r="D236" s="75">
        <f t="shared" ref="D236:J236" si="40">B71*$C$236*D$172</f>
        <v>3411641.2680000002</v>
      </c>
      <c r="E236" s="75">
        <f t="shared" si="40"/>
        <v>4201373.0429999996</v>
      </c>
      <c r="F236" s="75">
        <f t="shared" si="40"/>
        <v>5054283.3599999994</v>
      </c>
      <c r="G236" s="75">
        <f t="shared" si="40"/>
        <v>5686068.7799999993</v>
      </c>
      <c r="H236" s="75">
        <f t="shared" si="40"/>
        <v>6317854.2000000002</v>
      </c>
      <c r="I236" s="75">
        <f t="shared" si="40"/>
        <v>6949639.6200000001</v>
      </c>
      <c r="J236" s="75">
        <f t="shared" si="40"/>
        <v>7581425.040000001</v>
      </c>
      <c r="K236" s="73"/>
      <c r="L236" s="73"/>
    </row>
    <row r="237" spans="1:12">
      <c r="A237" s="74" t="str">
        <f t="shared" si="37"/>
        <v>Maize</v>
      </c>
      <c r="B237" s="74" t="s">
        <v>363</v>
      </c>
      <c r="C237" s="226"/>
      <c r="D237" s="75">
        <f t="shared" ref="D237:J237" si="41">B72*$C$237*D$172</f>
        <v>0</v>
      </c>
      <c r="E237" s="75">
        <f t="shared" si="41"/>
        <v>0</v>
      </c>
      <c r="F237" s="75">
        <f t="shared" si="41"/>
        <v>0</v>
      </c>
      <c r="G237" s="75">
        <f t="shared" si="41"/>
        <v>0</v>
      </c>
      <c r="H237" s="75">
        <f t="shared" si="41"/>
        <v>0</v>
      </c>
      <c r="I237" s="75">
        <f t="shared" si="41"/>
        <v>0</v>
      </c>
      <c r="J237" s="75">
        <f t="shared" si="41"/>
        <v>0</v>
      </c>
      <c r="K237" s="73"/>
      <c r="L237" s="73"/>
    </row>
    <row r="238" spans="1:12">
      <c r="A238" s="74" t="str">
        <f t="shared" si="37"/>
        <v>Black Gram/Udid</v>
      </c>
      <c r="B238" s="74" t="s">
        <v>363</v>
      </c>
      <c r="C238" s="226">
        <v>5500</v>
      </c>
      <c r="D238" s="75">
        <f t="shared" ref="D238:J238" si="42">B73*$C$238*D$172</f>
        <v>1772867.2499999998</v>
      </c>
      <c r="E238" s="75">
        <f t="shared" si="42"/>
        <v>2183253.1875</v>
      </c>
      <c r="F238" s="75">
        <f t="shared" si="42"/>
        <v>2626469.9999999995</v>
      </c>
      <c r="G238" s="75">
        <f t="shared" si="42"/>
        <v>2954778.75</v>
      </c>
      <c r="H238" s="75">
        <f t="shared" si="42"/>
        <v>3283087.4999999995</v>
      </c>
      <c r="I238" s="75">
        <f t="shared" si="42"/>
        <v>3611396.2499999995</v>
      </c>
      <c r="J238" s="75">
        <f t="shared" si="42"/>
        <v>3939705.0000000005</v>
      </c>
      <c r="K238" s="73"/>
      <c r="L238" s="73"/>
    </row>
    <row r="239" spans="1:12">
      <c r="A239" s="74" t="str">
        <f t="shared" si="37"/>
        <v>Bajra</v>
      </c>
      <c r="B239" s="74" t="s">
        <v>363</v>
      </c>
      <c r="C239" s="226">
        <v>1800</v>
      </c>
      <c r="D239" s="75">
        <f t="shared" ref="D239:J239" si="43">B74*$C$239*D$172</f>
        <v>0</v>
      </c>
      <c r="E239" s="75">
        <f t="shared" si="43"/>
        <v>0</v>
      </c>
      <c r="F239" s="75">
        <f t="shared" si="43"/>
        <v>0</v>
      </c>
      <c r="G239" s="75">
        <f t="shared" si="43"/>
        <v>0</v>
      </c>
      <c r="H239" s="75">
        <f t="shared" si="43"/>
        <v>0</v>
      </c>
      <c r="I239" s="75">
        <f t="shared" si="43"/>
        <v>0</v>
      </c>
      <c r="J239" s="75">
        <f t="shared" si="43"/>
        <v>0</v>
      </c>
      <c r="K239" s="73"/>
      <c r="L239" s="73"/>
    </row>
    <row r="240" spans="1:12">
      <c r="A240" s="74" t="str">
        <f t="shared" si="37"/>
        <v>Jawar</v>
      </c>
      <c r="B240" s="74" t="s">
        <v>363</v>
      </c>
      <c r="C240" s="226"/>
      <c r="D240" s="75">
        <f t="shared" ref="D240:J240" si="44">B75*$C$240*D$172</f>
        <v>0</v>
      </c>
      <c r="E240" s="75">
        <f t="shared" si="44"/>
        <v>0</v>
      </c>
      <c r="F240" s="75">
        <f t="shared" si="44"/>
        <v>0</v>
      </c>
      <c r="G240" s="75">
        <f t="shared" si="44"/>
        <v>0</v>
      </c>
      <c r="H240" s="75">
        <f t="shared" si="44"/>
        <v>0</v>
      </c>
      <c r="I240" s="75">
        <f t="shared" si="44"/>
        <v>0</v>
      </c>
      <c r="J240" s="75">
        <f t="shared" si="44"/>
        <v>0</v>
      </c>
      <c r="K240" s="73"/>
      <c r="L240" s="73"/>
    </row>
    <row r="241" spans="1:12">
      <c r="A241" s="74" t="str">
        <f t="shared" si="37"/>
        <v>Sunflower</v>
      </c>
      <c r="B241" s="74" t="s">
        <v>363</v>
      </c>
      <c r="C241" s="226"/>
      <c r="D241" s="75">
        <f t="shared" ref="D241:J241" si="45">B76*$C$241*D$172</f>
        <v>0</v>
      </c>
      <c r="E241" s="75">
        <f t="shared" si="45"/>
        <v>0</v>
      </c>
      <c r="F241" s="75">
        <f t="shared" si="45"/>
        <v>0</v>
      </c>
      <c r="G241" s="75">
        <f t="shared" si="45"/>
        <v>0</v>
      </c>
      <c r="H241" s="75">
        <f t="shared" si="45"/>
        <v>0</v>
      </c>
      <c r="I241" s="75">
        <f t="shared" si="45"/>
        <v>0</v>
      </c>
      <c r="J241" s="75">
        <f t="shared" si="45"/>
        <v>0</v>
      </c>
      <c r="K241" s="73"/>
      <c r="L241" s="73"/>
    </row>
    <row r="242" spans="1:12">
      <c r="A242" s="74" t="str">
        <f t="shared" si="37"/>
        <v>Wheat</v>
      </c>
      <c r="B242" s="74" t="s">
        <v>363</v>
      </c>
      <c r="C242" s="226">
        <v>2000</v>
      </c>
      <c r="D242" s="75">
        <f t="shared" ref="D242:J242" si="46">B77*$C$242*D$172</f>
        <v>552581.99999999988</v>
      </c>
      <c r="E242" s="75">
        <f t="shared" si="46"/>
        <v>680494.49999999988</v>
      </c>
      <c r="F242" s="75">
        <f t="shared" si="46"/>
        <v>818639.99999999977</v>
      </c>
      <c r="G242" s="75">
        <f t="shared" si="46"/>
        <v>920969.99999999965</v>
      </c>
      <c r="H242" s="75">
        <f t="shared" si="46"/>
        <v>1023299.9999999997</v>
      </c>
      <c r="I242" s="75">
        <f t="shared" si="46"/>
        <v>1125629.9999999998</v>
      </c>
      <c r="J242" s="75">
        <f t="shared" si="46"/>
        <v>1227959.9999999998</v>
      </c>
      <c r="K242" s="73"/>
      <c r="L242" s="73"/>
    </row>
    <row r="243" spans="1:12">
      <c r="A243" s="74" t="str">
        <f t="shared" si="37"/>
        <v>Bengal Gram/Channa</v>
      </c>
      <c r="B243" s="74" t="s">
        <v>363</v>
      </c>
      <c r="C243" s="226">
        <v>4450</v>
      </c>
      <c r="D243" s="75">
        <f t="shared" ref="D243:J243" si="47">B78*$C$243*D$172</f>
        <v>2766363.6375000007</v>
      </c>
      <c r="E243" s="75">
        <f t="shared" si="47"/>
        <v>3406725.5906249997</v>
      </c>
      <c r="F243" s="75">
        <f t="shared" si="47"/>
        <v>4098316.5</v>
      </c>
      <c r="G243" s="75">
        <f t="shared" si="47"/>
        <v>4610606.0625</v>
      </c>
      <c r="H243" s="75">
        <f t="shared" si="47"/>
        <v>5122895.6249999991</v>
      </c>
      <c r="I243" s="75">
        <f t="shared" si="47"/>
        <v>5635185.1875</v>
      </c>
      <c r="J243" s="75">
        <f t="shared" si="47"/>
        <v>6147474.7500000009</v>
      </c>
      <c r="K243" s="73"/>
      <c r="L243" s="73"/>
    </row>
    <row r="244" spans="1:12">
      <c r="A244" s="74" t="str">
        <f t="shared" si="37"/>
        <v>Jawar</v>
      </c>
      <c r="B244" s="74" t="s">
        <v>363</v>
      </c>
      <c r="C244" s="226"/>
      <c r="D244" s="75">
        <f t="shared" ref="D244:J244" si="48">B79*$C$244*D$172</f>
        <v>0</v>
      </c>
      <c r="E244" s="75">
        <f t="shared" si="48"/>
        <v>0</v>
      </c>
      <c r="F244" s="75">
        <f t="shared" si="48"/>
        <v>0</v>
      </c>
      <c r="G244" s="75">
        <f t="shared" si="48"/>
        <v>0</v>
      </c>
      <c r="H244" s="75">
        <f t="shared" si="48"/>
        <v>0</v>
      </c>
      <c r="I244" s="75">
        <f t="shared" si="48"/>
        <v>0</v>
      </c>
      <c r="J244" s="75">
        <f t="shared" si="48"/>
        <v>0</v>
      </c>
      <c r="K244" s="73"/>
      <c r="L244" s="73"/>
    </row>
    <row r="245" spans="1:12">
      <c r="A245" s="74" t="str">
        <f t="shared" si="37"/>
        <v>Maize</v>
      </c>
      <c r="B245" s="74" t="s">
        <v>363</v>
      </c>
      <c r="C245" s="226"/>
      <c r="D245" s="75">
        <f t="shared" ref="D245:J245" si="49">B80*$C$245*D$172</f>
        <v>0</v>
      </c>
      <c r="E245" s="75">
        <f t="shared" si="49"/>
        <v>0</v>
      </c>
      <c r="F245" s="75">
        <f t="shared" si="49"/>
        <v>0</v>
      </c>
      <c r="G245" s="75">
        <f t="shared" si="49"/>
        <v>0</v>
      </c>
      <c r="H245" s="75">
        <f t="shared" si="49"/>
        <v>0</v>
      </c>
      <c r="I245" s="75">
        <f t="shared" si="49"/>
        <v>0</v>
      </c>
      <c r="J245" s="75">
        <f t="shared" si="49"/>
        <v>0</v>
      </c>
      <c r="K245" s="73"/>
      <c r="L245" s="73"/>
    </row>
    <row r="246" spans="1:12">
      <c r="A246" s="74" t="str">
        <f t="shared" si="37"/>
        <v>Safflower</v>
      </c>
      <c r="B246" s="74" t="s">
        <v>363</v>
      </c>
      <c r="C246" s="226"/>
      <c r="D246" s="75">
        <f t="shared" ref="D246:J246" si="50">B81*$C$246*D$172</f>
        <v>0</v>
      </c>
      <c r="E246" s="75">
        <f t="shared" si="50"/>
        <v>0</v>
      </c>
      <c r="F246" s="75">
        <f t="shared" si="50"/>
        <v>0</v>
      </c>
      <c r="G246" s="75">
        <f t="shared" si="50"/>
        <v>0</v>
      </c>
      <c r="H246" s="75">
        <f t="shared" si="50"/>
        <v>0</v>
      </c>
      <c r="I246" s="75">
        <f t="shared" si="50"/>
        <v>0</v>
      </c>
      <c r="J246" s="75">
        <f t="shared" si="50"/>
        <v>0</v>
      </c>
      <c r="K246" s="73"/>
      <c r="L246" s="73"/>
    </row>
    <row r="247" spans="1:12">
      <c r="A247" s="74" t="str">
        <f t="shared" si="37"/>
        <v>Groundnut</v>
      </c>
      <c r="B247" s="74" t="s">
        <v>363</v>
      </c>
      <c r="C247" s="226">
        <v>4000</v>
      </c>
      <c r="D247" s="75">
        <f t="shared" ref="D247:J247" si="51">B82*$C$247*D$172</f>
        <v>1740633.2999999996</v>
      </c>
      <c r="E247" s="75">
        <f t="shared" si="51"/>
        <v>2143557.6749999993</v>
      </c>
      <c r="F247" s="75">
        <f t="shared" si="51"/>
        <v>2578715.9999999995</v>
      </c>
      <c r="G247" s="75">
        <f t="shared" si="51"/>
        <v>2901055.4999999995</v>
      </c>
      <c r="H247" s="75">
        <f t="shared" si="51"/>
        <v>3223394.9999999991</v>
      </c>
      <c r="I247" s="75">
        <f t="shared" si="51"/>
        <v>3545734.4999999991</v>
      </c>
      <c r="J247" s="75">
        <f t="shared" si="51"/>
        <v>3868073.9999999991</v>
      </c>
      <c r="K247" s="73"/>
      <c r="L247" s="73"/>
    </row>
    <row r="248" spans="1:12">
      <c r="A248" s="74">
        <f t="shared" si="37"/>
        <v>0</v>
      </c>
      <c r="B248" s="74" t="s">
        <v>363</v>
      </c>
      <c r="C248" s="226"/>
      <c r="D248" s="75">
        <f t="shared" ref="D248:J248" si="52">B83*$C$248*D$172</f>
        <v>0</v>
      </c>
      <c r="E248" s="75">
        <f t="shared" si="52"/>
        <v>0</v>
      </c>
      <c r="F248" s="75">
        <f t="shared" si="52"/>
        <v>0</v>
      </c>
      <c r="G248" s="75">
        <f t="shared" si="52"/>
        <v>0</v>
      </c>
      <c r="H248" s="75">
        <f t="shared" si="52"/>
        <v>0</v>
      </c>
      <c r="I248" s="75">
        <f t="shared" si="52"/>
        <v>0</v>
      </c>
      <c r="J248" s="75">
        <f t="shared" si="52"/>
        <v>0</v>
      </c>
      <c r="K248" s="73"/>
      <c r="L248" s="73"/>
    </row>
    <row r="249" spans="1:12">
      <c r="A249" s="74">
        <f t="shared" si="37"/>
        <v>0</v>
      </c>
      <c r="B249" s="74" t="s">
        <v>363</v>
      </c>
      <c r="C249" s="226"/>
      <c r="D249" s="75">
        <f t="shared" ref="D249:J255" si="53">B84*$C249*D$172</f>
        <v>0</v>
      </c>
      <c r="E249" s="75">
        <f t="shared" si="53"/>
        <v>0</v>
      </c>
      <c r="F249" s="75">
        <f t="shared" si="53"/>
        <v>0</v>
      </c>
      <c r="G249" s="75">
        <f t="shared" si="53"/>
        <v>0</v>
      </c>
      <c r="H249" s="75">
        <f t="shared" si="53"/>
        <v>0</v>
      </c>
      <c r="I249" s="75">
        <f t="shared" si="53"/>
        <v>0</v>
      </c>
      <c r="J249" s="75">
        <f t="shared" si="53"/>
        <v>0</v>
      </c>
      <c r="K249" s="73"/>
      <c r="L249" s="73"/>
    </row>
    <row r="250" spans="1:12">
      <c r="A250" s="74" t="str">
        <f t="shared" si="37"/>
        <v>Groundnut</v>
      </c>
      <c r="B250" s="74" t="s">
        <v>363</v>
      </c>
      <c r="C250" s="226"/>
      <c r="D250" s="75">
        <f t="shared" si="53"/>
        <v>0</v>
      </c>
      <c r="E250" s="75">
        <f t="shared" si="53"/>
        <v>0</v>
      </c>
      <c r="F250" s="75">
        <f t="shared" si="53"/>
        <v>0</v>
      </c>
      <c r="G250" s="75">
        <f t="shared" si="53"/>
        <v>0</v>
      </c>
      <c r="H250" s="75">
        <f t="shared" si="53"/>
        <v>0</v>
      </c>
      <c r="I250" s="75">
        <f t="shared" si="53"/>
        <v>0</v>
      </c>
      <c r="J250" s="75">
        <f t="shared" si="53"/>
        <v>0</v>
      </c>
      <c r="K250" s="73"/>
      <c r="L250" s="73"/>
    </row>
    <row r="251" spans="1:12">
      <c r="A251" s="74">
        <f t="shared" si="37"/>
        <v>0</v>
      </c>
      <c r="B251" s="74" t="s">
        <v>363</v>
      </c>
      <c r="C251" s="226"/>
      <c r="D251" s="75">
        <f t="shared" si="53"/>
        <v>0</v>
      </c>
      <c r="E251" s="75">
        <f t="shared" si="53"/>
        <v>0</v>
      </c>
      <c r="F251" s="75">
        <f t="shared" si="53"/>
        <v>0</v>
      </c>
      <c r="G251" s="75">
        <f t="shared" si="53"/>
        <v>0</v>
      </c>
      <c r="H251" s="75">
        <f t="shared" si="53"/>
        <v>0</v>
      </c>
      <c r="I251" s="75">
        <f t="shared" si="53"/>
        <v>0</v>
      </c>
      <c r="J251" s="75">
        <f t="shared" si="53"/>
        <v>0</v>
      </c>
      <c r="K251" s="73"/>
      <c r="L251" s="73"/>
    </row>
    <row r="252" spans="1:12">
      <c r="A252" s="74">
        <f t="shared" si="37"/>
        <v>0</v>
      </c>
      <c r="B252" s="74" t="s">
        <v>363</v>
      </c>
      <c r="C252" s="226"/>
      <c r="D252" s="75">
        <f t="shared" si="53"/>
        <v>0</v>
      </c>
      <c r="E252" s="75">
        <f t="shared" si="53"/>
        <v>0</v>
      </c>
      <c r="F252" s="75">
        <f t="shared" si="53"/>
        <v>0</v>
      </c>
      <c r="G252" s="75">
        <f t="shared" si="53"/>
        <v>0</v>
      </c>
      <c r="H252" s="75">
        <f t="shared" si="53"/>
        <v>0</v>
      </c>
      <c r="I252" s="75">
        <f t="shared" si="53"/>
        <v>0</v>
      </c>
      <c r="J252" s="75">
        <f t="shared" si="53"/>
        <v>0</v>
      </c>
      <c r="K252" s="73"/>
      <c r="L252" s="73"/>
    </row>
    <row r="253" spans="1:12">
      <c r="A253" s="74">
        <f t="shared" si="37"/>
        <v>0</v>
      </c>
      <c r="B253" s="74" t="s">
        <v>363</v>
      </c>
      <c r="C253" s="226"/>
      <c r="D253" s="75">
        <f t="shared" si="53"/>
        <v>0</v>
      </c>
      <c r="E253" s="75">
        <f t="shared" si="53"/>
        <v>0</v>
      </c>
      <c r="F253" s="75">
        <f t="shared" si="53"/>
        <v>0</v>
      </c>
      <c r="G253" s="75">
        <f t="shared" si="53"/>
        <v>0</v>
      </c>
      <c r="H253" s="75">
        <f t="shared" si="53"/>
        <v>0</v>
      </c>
      <c r="I253" s="75">
        <f t="shared" si="53"/>
        <v>0</v>
      </c>
      <c r="J253" s="75">
        <f t="shared" si="53"/>
        <v>0</v>
      </c>
      <c r="K253" s="73"/>
      <c r="L253" s="73"/>
    </row>
    <row r="254" spans="1:12">
      <c r="A254" s="74">
        <f t="shared" si="37"/>
        <v>0</v>
      </c>
      <c r="B254" s="74" t="s">
        <v>363</v>
      </c>
      <c r="C254" s="226"/>
      <c r="D254" s="75">
        <f t="shared" si="53"/>
        <v>0</v>
      </c>
      <c r="E254" s="75">
        <f t="shared" si="53"/>
        <v>0</v>
      </c>
      <c r="F254" s="75">
        <f t="shared" si="53"/>
        <v>0</v>
      </c>
      <c r="G254" s="75">
        <f t="shared" si="53"/>
        <v>0</v>
      </c>
      <c r="H254" s="75">
        <f t="shared" si="53"/>
        <v>0</v>
      </c>
      <c r="I254" s="75">
        <f t="shared" si="53"/>
        <v>0</v>
      </c>
      <c r="J254" s="75">
        <f t="shared" si="53"/>
        <v>0</v>
      </c>
      <c r="K254" s="73"/>
      <c r="L254" s="73"/>
    </row>
    <row r="255" spans="1:12">
      <c r="A255" s="74">
        <f t="shared" ref="A255:A274" si="54">A201</f>
        <v>0</v>
      </c>
      <c r="B255" s="74"/>
      <c r="C255" s="226"/>
      <c r="D255" s="75">
        <f t="shared" si="53"/>
        <v>0</v>
      </c>
      <c r="E255" s="75">
        <f t="shared" si="53"/>
        <v>0</v>
      </c>
      <c r="F255" s="75">
        <f t="shared" si="53"/>
        <v>0</v>
      </c>
      <c r="G255" s="75">
        <f t="shared" si="53"/>
        <v>0</v>
      </c>
      <c r="H255" s="75">
        <f t="shared" si="53"/>
        <v>0</v>
      </c>
      <c r="I255" s="75">
        <f t="shared" si="53"/>
        <v>0</v>
      </c>
      <c r="J255" s="75">
        <f t="shared" si="53"/>
        <v>0</v>
      </c>
      <c r="K255" s="73"/>
      <c r="L255" s="73"/>
    </row>
    <row r="256" spans="1:12">
      <c r="A256" s="76" t="str">
        <f t="shared" si="54"/>
        <v>Fruit  &amp; Vegetables Crop Production Details</v>
      </c>
      <c r="B256" s="74"/>
      <c r="C256" s="226"/>
      <c r="D256" s="75"/>
      <c r="E256" s="75"/>
      <c r="F256" s="75"/>
      <c r="G256" s="75"/>
      <c r="H256" s="75"/>
      <c r="I256" s="75"/>
      <c r="J256" s="75"/>
      <c r="K256" s="73"/>
      <c r="L256" s="73"/>
    </row>
    <row r="257" spans="1:12">
      <c r="A257" s="74" t="str">
        <f t="shared" si="54"/>
        <v>Onion</v>
      </c>
      <c r="B257" s="74" t="s">
        <v>363</v>
      </c>
      <c r="C257" s="226">
        <v>1800</v>
      </c>
      <c r="D257" s="75">
        <f t="shared" ref="D257:D274" si="55">B92*$C257*D$172</f>
        <v>0</v>
      </c>
      <c r="E257" s="75">
        <f t="shared" ref="E257:E274" si="56">C92*$C257*E$172</f>
        <v>0</v>
      </c>
      <c r="F257" s="75">
        <f t="shared" ref="F257:F274" si="57">D92*$C257*F$172</f>
        <v>0</v>
      </c>
      <c r="G257" s="75">
        <f t="shared" ref="G257:G274" si="58">E92*$C257*G$172</f>
        <v>0</v>
      </c>
      <c r="H257" s="75">
        <f t="shared" ref="H257:H274" si="59">F92*$C257*H$172</f>
        <v>0</v>
      </c>
      <c r="I257" s="75">
        <f t="shared" ref="I257:I274" si="60">G92*$C257*I$172</f>
        <v>0</v>
      </c>
      <c r="J257" s="75">
        <f t="shared" ref="J257:J274" si="61">H92*$C257*J$172</f>
        <v>0</v>
      </c>
      <c r="K257" s="73"/>
      <c r="L257" s="73"/>
    </row>
    <row r="258" spans="1:12">
      <c r="A258" s="74" t="str">
        <f t="shared" si="54"/>
        <v>Tomato</v>
      </c>
      <c r="B258" s="74" t="s">
        <v>363</v>
      </c>
      <c r="C258" s="226">
        <v>800</v>
      </c>
      <c r="D258" s="75">
        <f t="shared" si="55"/>
        <v>0</v>
      </c>
      <c r="E258" s="75">
        <f t="shared" si="56"/>
        <v>0</v>
      </c>
      <c r="F258" s="75">
        <f t="shared" si="57"/>
        <v>0</v>
      </c>
      <c r="G258" s="75">
        <f t="shared" si="58"/>
        <v>0</v>
      </c>
      <c r="H258" s="75">
        <f t="shared" si="59"/>
        <v>0</v>
      </c>
      <c r="I258" s="75">
        <f t="shared" si="60"/>
        <v>0</v>
      </c>
      <c r="J258" s="75">
        <f t="shared" si="61"/>
        <v>0</v>
      </c>
      <c r="K258" s="73"/>
      <c r="L258" s="73"/>
    </row>
    <row r="259" spans="1:12">
      <c r="A259" s="74" t="str">
        <f t="shared" si="54"/>
        <v>Okra</v>
      </c>
      <c r="B259" s="74" t="s">
        <v>363</v>
      </c>
      <c r="C259" s="226">
        <v>1300</v>
      </c>
      <c r="D259" s="75">
        <f t="shared" si="55"/>
        <v>0</v>
      </c>
      <c r="E259" s="75">
        <f t="shared" si="56"/>
        <v>0</v>
      </c>
      <c r="F259" s="75">
        <f t="shared" si="57"/>
        <v>0</v>
      </c>
      <c r="G259" s="75">
        <f t="shared" si="58"/>
        <v>0</v>
      </c>
      <c r="H259" s="75">
        <f t="shared" si="59"/>
        <v>0</v>
      </c>
      <c r="I259" s="75">
        <f t="shared" si="60"/>
        <v>0</v>
      </c>
      <c r="J259" s="75">
        <f t="shared" si="61"/>
        <v>0</v>
      </c>
      <c r="K259" s="73"/>
      <c r="L259" s="73"/>
    </row>
    <row r="260" spans="1:12">
      <c r="A260" s="74" t="str">
        <f t="shared" si="54"/>
        <v>Chilli</v>
      </c>
      <c r="B260" s="74" t="s">
        <v>363</v>
      </c>
      <c r="C260" s="226">
        <v>2800</v>
      </c>
      <c r="D260" s="75">
        <f t="shared" si="55"/>
        <v>0</v>
      </c>
      <c r="E260" s="75">
        <f t="shared" si="56"/>
        <v>0</v>
      </c>
      <c r="F260" s="75">
        <f t="shared" si="57"/>
        <v>0</v>
      </c>
      <c r="G260" s="75">
        <f t="shared" si="58"/>
        <v>0</v>
      </c>
      <c r="H260" s="75">
        <f t="shared" si="59"/>
        <v>0</v>
      </c>
      <c r="I260" s="75">
        <f t="shared" si="60"/>
        <v>0</v>
      </c>
      <c r="J260" s="75">
        <f t="shared" si="61"/>
        <v>0</v>
      </c>
      <c r="K260" s="73"/>
      <c r="L260" s="73"/>
    </row>
    <row r="261" spans="1:12">
      <c r="A261" s="74" t="str">
        <f t="shared" si="54"/>
        <v>Potato</v>
      </c>
      <c r="B261" s="74" t="s">
        <v>363</v>
      </c>
      <c r="C261" s="226">
        <v>1300</v>
      </c>
      <c r="D261" s="75">
        <f t="shared" si="55"/>
        <v>0</v>
      </c>
      <c r="E261" s="75">
        <f t="shared" si="56"/>
        <v>0</v>
      </c>
      <c r="F261" s="75">
        <f t="shared" si="57"/>
        <v>0</v>
      </c>
      <c r="G261" s="75">
        <f t="shared" si="58"/>
        <v>0</v>
      </c>
      <c r="H261" s="75">
        <f t="shared" si="59"/>
        <v>0</v>
      </c>
      <c r="I261" s="75">
        <f t="shared" si="60"/>
        <v>0</v>
      </c>
      <c r="J261" s="75">
        <f t="shared" si="61"/>
        <v>0</v>
      </c>
      <c r="K261" s="73"/>
      <c r="L261" s="73"/>
    </row>
    <row r="262" spans="1:12">
      <c r="A262" s="74">
        <f t="shared" si="54"/>
        <v>0</v>
      </c>
      <c r="B262" s="74" t="s">
        <v>363</v>
      </c>
      <c r="C262" s="226"/>
      <c r="D262" s="75">
        <f t="shared" si="55"/>
        <v>0</v>
      </c>
      <c r="E262" s="75">
        <f t="shared" si="56"/>
        <v>0</v>
      </c>
      <c r="F262" s="75">
        <f t="shared" si="57"/>
        <v>0</v>
      </c>
      <c r="G262" s="75">
        <f t="shared" si="58"/>
        <v>0</v>
      </c>
      <c r="H262" s="75">
        <f t="shared" si="59"/>
        <v>0</v>
      </c>
      <c r="I262" s="75">
        <f t="shared" si="60"/>
        <v>0</v>
      </c>
      <c r="J262" s="75">
        <f t="shared" si="61"/>
        <v>0</v>
      </c>
      <c r="K262" s="73"/>
      <c r="L262" s="73"/>
    </row>
    <row r="263" spans="1:12">
      <c r="A263" s="74">
        <f t="shared" si="54"/>
        <v>0</v>
      </c>
      <c r="B263" s="74" t="s">
        <v>363</v>
      </c>
      <c r="C263" s="226"/>
      <c r="D263" s="75">
        <f t="shared" si="55"/>
        <v>0</v>
      </c>
      <c r="E263" s="75">
        <f t="shared" si="56"/>
        <v>0</v>
      </c>
      <c r="F263" s="75">
        <f t="shared" si="57"/>
        <v>0</v>
      </c>
      <c r="G263" s="75">
        <f t="shared" si="58"/>
        <v>0</v>
      </c>
      <c r="H263" s="75">
        <f t="shared" si="59"/>
        <v>0</v>
      </c>
      <c r="I263" s="75">
        <f t="shared" si="60"/>
        <v>0</v>
      </c>
      <c r="J263" s="75">
        <f t="shared" si="61"/>
        <v>0</v>
      </c>
      <c r="K263" s="73"/>
      <c r="L263" s="73"/>
    </row>
    <row r="264" spans="1:12">
      <c r="A264" s="74">
        <f t="shared" si="54"/>
        <v>0</v>
      </c>
      <c r="B264" s="74" t="s">
        <v>363</v>
      </c>
      <c r="C264" s="226"/>
      <c r="D264" s="75">
        <f t="shared" si="55"/>
        <v>0</v>
      </c>
      <c r="E264" s="75">
        <f t="shared" si="56"/>
        <v>0</v>
      </c>
      <c r="F264" s="75">
        <f t="shared" si="57"/>
        <v>0</v>
      </c>
      <c r="G264" s="75">
        <f t="shared" si="58"/>
        <v>0</v>
      </c>
      <c r="H264" s="75">
        <f t="shared" si="59"/>
        <v>0</v>
      </c>
      <c r="I264" s="75">
        <f t="shared" si="60"/>
        <v>0</v>
      </c>
      <c r="J264" s="75">
        <f t="shared" si="61"/>
        <v>0</v>
      </c>
      <c r="K264" s="73"/>
      <c r="L264" s="73"/>
    </row>
    <row r="265" spans="1:12">
      <c r="A265" s="74">
        <f t="shared" si="54"/>
        <v>0</v>
      </c>
      <c r="B265" s="74" t="s">
        <v>363</v>
      </c>
      <c r="C265" s="226"/>
      <c r="D265" s="75">
        <f t="shared" si="55"/>
        <v>0</v>
      </c>
      <c r="E265" s="75">
        <f t="shared" si="56"/>
        <v>0</v>
      </c>
      <c r="F265" s="75">
        <f t="shared" si="57"/>
        <v>0</v>
      </c>
      <c r="G265" s="75">
        <f t="shared" si="58"/>
        <v>0</v>
      </c>
      <c r="H265" s="75">
        <f t="shared" si="59"/>
        <v>0</v>
      </c>
      <c r="I265" s="75">
        <f t="shared" si="60"/>
        <v>0</v>
      </c>
      <c r="J265" s="75">
        <f t="shared" si="61"/>
        <v>0</v>
      </c>
      <c r="K265" s="73"/>
      <c r="L265" s="73"/>
    </row>
    <row r="266" spans="1:12">
      <c r="A266" s="74" t="str">
        <f t="shared" si="54"/>
        <v>Onion</v>
      </c>
      <c r="B266" s="74" t="s">
        <v>363</v>
      </c>
      <c r="C266" s="226">
        <v>1800</v>
      </c>
      <c r="D266" s="75">
        <f t="shared" si="55"/>
        <v>0</v>
      </c>
      <c r="E266" s="75">
        <f t="shared" si="56"/>
        <v>0</v>
      </c>
      <c r="F266" s="75">
        <f t="shared" si="57"/>
        <v>0</v>
      </c>
      <c r="G266" s="75">
        <f t="shared" si="58"/>
        <v>0</v>
      </c>
      <c r="H266" s="75">
        <f t="shared" si="59"/>
        <v>0</v>
      </c>
      <c r="I266" s="75">
        <f t="shared" si="60"/>
        <v>0</v>
      </c>
      <c r="J266" s="75">
        <f t="shared" si="61"/>
        <v>0</v>
      </c>
      <c r="K266" s="73"/>
      <c r="L266" s="73"/>
    </row>
    <row r="267" spans="1:12">
      <c r="A267" s="74" t="str">
        <f t="shared" si="54"/>
        <v>Tomato</v>
      </c>
      <c r="B267" s="74" t="s">
        <v>363</v>
      </c>
      <c r="C267" s="226">
        <v>800</v>
      </c>
      <c r="D267" s="75">
        <f t="shared" si="55"/>
        <v>0</v>
      </c>
      <c r="E267" s="75">
        <f t="shared" si="56"/>
        <v>0</v>
      </c>
      <c r="F267" s="75">
        <f t="shared" si="57"/>
        <v>0</v>
      </c>
      <c r="G267" s="75">
        <f t="shared" si="58"/>
        <v>0</v>
      </c>
      <c r="H267" s="75">
        <f t="shared" si="59"/>
        <v>0</v>
      </c>
      <c r="I267" s="75">
        <f t="shared" si="60"/>
        <v>0</v>
      </c>
      <c r="J267" s="75">
        <f t="shared" si="61"/>
        <v>0</v>
      </c>
      <c r="K267" s="73"/>
      <c r="L267" s="73"/>
    </row>
    <row r="268" spans="1:12">
      <c r="A268" s="74" t="str">
        <f t="shared" si="54"/>
        <v>Okra</v>
      </c>
      <c r="B268" s="74" t="s">
        <v>363</v>
      </c>
      <c r="C268" s="226">
        <v>1300</v>
      </c>
      <c r="D268" s="75">
        <f t="shared" si="55"/>
        <v>0</v>
      </c>
      <c r="E268" s="75">
        <f t="shared" si="56"/>
        <v>0</v>
      </c>
      <c r="F268" s="75">
        <f t="shared" si="57"/>
        <v>0</v>
      </c>
      <c r="G268" s="75">
        <f t="shared" si="58"/>
        <v>0</v>
      </c>
      <c r="H268" s="75">
        <f t="shared" si="59"/>
        <v>0</v>
      </c>
      <c r="I268" s="75">
        <f t="shared" si="60"/>
        <v>0</v>
      </c>
      <c r="J268" s="75">
        <f t="shared" si="61"/>
        <v>0</v>
      </c>
      <c r="K268" s="73"/>
      <c r="L268" s="73"/>
    </row>
    <row r="269" spans="1:12">
      <c r="A269" s="74" t="str">
        <f t="shared" si="54"/>
        <v>Chilli</v>
      </c>
      <c r="B269" s="74" t="s">
        <v>363</v>
      </c>
      <c r="C269" s="226">
        <v>2800</v>
      </c>
      <c r="D269" s="75">
        <f t="shared" si="55"/>
        <v>0</v>
      </c>
      <c r="E269" s="75">
        <f t="shared" si="56"/>
        <v>0</v>
      </c>
      <c r="F269" s="75">
        <f t="shared" si="57"/>
        <v>0</v>
      </c>
      <c r="G269" s="75">
        <f t="shared" si="58"/>
        <v>0</v>
      </c>
      <c r="H269" s="75">
        <f t="shared" si="59"/>
        <v>0</v>
      </c>
      <c r="I269" s="75">
        <f t="shared" si="60"/>
        <v>0</v>
      </c>
      <c r="J269" s="75">
        <f t="shared" si="61"/>
        <v>0</v>
      </c>
      <c r="K269" s="73"/>
      <c r="L269" s="73"/>
    </row>
    <row r="270" spans="1:12">
      <c r="A270" s="74" t="str">
        <f t="shared" si="54"/>
        <v>Brinjal</v>
      </c>
      <c r="B270" s="74" t="s">
        <v>363</v>
      </c>
      <c r="C270" s="226">
        <v>1800</v>
      </c>
      <c r="D270" s="75">
        <f t="shared" si="55"/>
        <v>0</v>
      </c>
      <c r="E270" s="75">
        <f t="shared" si="56"/>
        <v>0</v>
      </c>
      <c r="F270" s="75">
        <f t="shared" si="57"/>
        <v>0</v>
      </c>
      <c r="G270" s="75">
        <f t="shared" si="58"/>
        <v>0</v>
      </c>
      <c r="H270" s="75">
        <f t="shared" si="59"/>
        <v>0</v>
      </c>
      <c r="I270" s="75">
        <f t="shared" si="60"/>
        <v>0</v>
      </c>
      <c r="J270" s="75">
        <f t="shared" si="61"/>
        <v>0</v>
      </c>
      <c r="K270" s="73"/>
      <c r="L270" s="73"/>
    </row>
    <row r="271" spans="1:12">
      <c r="A271" s="74">
        <f t="shared" si="54"/>
        <v>0</v>
      </c>
      <c r="B271" s="74" t="s">
        <v>363</v>
      </c>
      <c r="C271" s="226"/>
      <c r="D271" s="75">
        <f t="shared" si="55"/>
        <v>0</v>
      </c>
      <c r="E271" s="75">
        <f t="shared" si="56"/>
        <v>0</v>
      </c>
      <c r="F271" s="75">
        <f t="shared" si="57"/>
        <v>0</v>
      </c>
      <c r="G271" s="75">
        <f t="shared" si="58"/>
        <v>0</v>
      </c>
      <c r="H271" s="75">
        <f t="shared" si="59"/>
        <v>0</v>
      </c>
      <c r="I271" s="75">
        <f t="shared" si="60"/>
        <v>0</v>
      </c>
      <c r="J271" s="75">
        <f t="shared" si="61"/>
        <v>0</v>
      </c>
      <c r="K271" s="73"/>
      <c r="L271" s="73"/>
    </row>
    <row r="272" spans="1:12">
      <c r="A272" s="74">
        <f t="shared" si="54"/>
        <v>0</v>
      </c>
      <c r="B272" s="74" t="s">
        <v>363</v>
      </c>
      <c r="C272" s="226"/>
      <c r="D272" s="75">
        <f t="shared" si="55"/>
        <v>0</v>
      </c>
      <c r="E272" s="75">
        <f t="shared" si="56"/>
        <v>0</v>
      </c>
      <c r="F272" s="75">
        <f t="shared" si="57"/>
        <v>0</v>
      </c>
      <c r="G272" s="75">
        <f t="shared" si="58"/>
        <v>0</v>
      </c>
      <c r="H272" s="75">
        <f t="shared" si="59"/>
        <v>0</v>
      </c>
      <c r="I272" s="75">
        <f t="shared" si="60"/>
        <v>0</v>
      </c>
      <c r="J272" s="75">
        <f t="shared" si="61"/>
        <v>0</v>
      </c>
      <c r="K272" s="73"/>
      <c r="L272" s="73"/>
    </row>
    <row r="273" spans="1:20">
      <c r="A273" s="74">
        <f t="shared" si="54"/>
        <v>0</v>
      </c>
      <c r="B273" s="74" t="s">
        <v>363</v>
      </c>
      <c r="C273" s="226"/>
      <c r="D273" s="75">
        <f t="shared" si="55"/>
        <v>0</v>
      </c>
      <c r="E273" s="75">
        <f t="shared" si="56"/>
        <v>0</v>
      </c>
      <c r="F273" s="75">
        <f t="shared" si="57"/>
        <v>0</v>
      </c>
      <c r="G273" s="75">
        <f t="shared" si="58"/>
        <v>0</v>
      </c>
      <c r="H273" s="75">
        <f t="shared" si="59"/>
        <v>0</v>
      </c>
      <c r="I273" s="75">
        <f t="shared" si="60"/>
        <v>0</v>
      </c>
      <c r="J273" s="75">
        <f t="shared" si="61"/>
        <v>0</v>
      </c>
      <c r="K273" s="73"/>
      <c r="L273" s="73"/>
    </row>
    <row r="274" spans="1:20">
      <c r="A274" s="74">
        <f t="shared" si="54"/>
        <v>0</v>
      </c>
      <c r="B274" s="74" t="s">
        <v>363</v>
      </c>
      <c r="C274" s="226"/>
      <c r="D274" s="75">
        <f t="shared" si="55"/>
        <v>0</v>
      </c>
      <c r="E274" s="75">
        <f t="shared" si="56"/>
        <v>0</v>
      </c>
      <c r="F274" s="75">
        <f t="shared" si="57"/>
        <v>0</v>
      </c>
      <c r="G274" s="75">
        <f t="shared" si="58"/>
        <v>0</v>
      </c>
      <c r="H274" s="75">
        <f t="shared" si="59"/>
        <v>0</v>
      </c>
      <c r="I274" s="75">
        <f t="shared" si="60"/>
        <v>0</v>
      </c>
      <c r="J274" s="75">
        <f t="shared" si="61"/>
        <v>0</v>
      </c>
      <c r="K274" s="73"/>
      <c r="L274" s="73"/>
    </row>
    <row r="275" spans="1:20">
      <c r="A275" s="74" t="str">
        <f>A224</f>
        <v>Pomegranate</v>
      </c>
      <c r="B275" s="74" t="s">
        <v>363</v>
      </c>
      <c r="C275" s="226">
        <v>4700</v>
      </c>
      <c r="D275" s="75">
        <f t="shared" ref="D275:J280" si="62">B113*$C275*D$172</f>
        <v>0</v>
      </c>
      <c r="E275" s="75">
        <f t="shared" si="62"/>
        <v>0</v>
      </c>
      <c r="F275" s="75">
        <f t="shared" si="62"/>
        <v>0</v>
      </c>
      <c r="G275" s="75">
        <f t="shared" si="62"/>
        <v>0</v>
      </c>
      <c r="H275" s="75">
        <f t="shared" si="62"/>
        <v>0</v>
      </c>
      <c r="I275" s="75">
        <f t="shared" si="62"/>
        <v>0</v>
      </c>
      <c r="J275" s="75">
        <f t="shared" si="62"/>
        <v>0</v>
      </c>
      <c r="K275" s="73"/>
      <c r="L275" s="73"/>
    </row>
    <row r="276" spans="1:20">
      <c r="A276" s="74" t="str">
        <f>A225</f>
        <v>Custard Apple</v>
      </c>
      <c r="B276" s="74" t="s">
        <v>363</v>
      </c>
      <c r="C276" s="226"/>
      <c r="D276" s="75">
        <f t="shared" si="62"/>
        <v>0</v>
      </c>
      <c r="E276" s="75">
        <f t="shared" si="62"/>
        <v>0</v>
      </c>
      <c r="F276" s="75">
        <f t="shared" si="62"/>
        <v>0</v>
      </c>
      <c r="G276" s="75">
        <f t="shared" si="62"/>
        <v>0</v>
      </c>
      <c r="H276" s="75">
        <f t="shared" si="62"/>
        <v>0</v>
      </c>
      <c r="I276" s="75">
        <f t="shared" si="62"/>
        <v>0</v>
      </c>
      <c r="J276" s="75">
        <f t="shared" si="62"/>
        <v>0</v>
      </c>
      <c r="K276" s="73"/>
      <c r="L276" s="73"/>
    </row>
    <row r="277" spans="1:20">
      <c r="A277" s="74" t="str">
        <f>A226</f>
        <v>Guava</v>
      </c>
      <c r="B277" s="74" t="s">
        <v>363</v>
      </c>
      <c r="C277" s="226"/>
      <c r="D277" s="75">
        <f t="shared" si="62"/>
        <v>0</v>
      </c>
      <c r="E277" s="75">
        <f t="shared" si="62"/>
        <v>0</v>
      </c>
      <c r="F277" s="75">
        <f t="shared" si="62"/>
        <v>0</v>
      </c>
      <c r="G277" s="75">
        <f t="shared" si="62"/>
        <v>0</v>
      </c>
      <c r="H277" s="75">
        <f t="shared" si="62"/>
        <v>0</v>
      </c>
      <c r="I277" s="75">
        <f t="shared" si="62"/>
        <v>0</v>
      </c>
      <c r="J277" s="75">
        <f t="shared" si="62"/>
        <v>0</v>
      </c>
      <c r="K277" s="73"/>
      <c r="L277" s="73"/>
    </row>
    <row r="278" spans="1:20">
      <c r="A278" s="74" t="str">
        <f>A227</f>
        <v>Citrus</v>
      </c>
      <c r="B278" s="74" t="s">
        <v>363</v>
      </c>
      <c r="C278" s="226"/>
      <c r="D278" s="75">
        <f t="shared" si="62"/>
        <v>0</v>
      </c>
      <c r="E278" s="75">
        <f t="shared" si="62"/>
        <v>0</v>
      </c>
      <c r="F278" s="75">
        <f t="shared" si="62"/>
        <v>0</v>
      </c>
      <c r="G278" s="75">
        <f t="shared" si="62"/>
        <v>0</v>
      </c>
      <c r="H278" s="75">
        <f t="shared" si="62"/>
        <v>0</v>
      </c>
      <c r="I278" s="75">
        <f t="shared" si="62"/>
        <v>0</v>
      </c>
      <c r="J278" s="75">
        <f t="shared" si="62"/>
        <v>0</v>
      </c>
      <c r="K278" s="73"/>
      <c r="L278" s="73"/>
    </row>
    <row r="279" spans="1:20">
      <c r="A279" s="74">
        <f>A228</f>
        <v>0</v>
      </c>
      <c r="B279" s="74" t="s">
        <v>363</v>
      </c>
      <c r="C279" s="226"/>
      <c r="D279" s="75">
        <f t="shared" si="62"/>
        <v>0</v>
      </c>
      <c r="E279" s="75">
        <f t="shared" si="62"/>
        <v>0</v>
      </c>
      <c r="F279" s="75">
        <f t="shared" si="62"/>
        <v>0</v>
      </c>
      <c r="G279" s="75">
        <f t="shared" si="62"/>
        <v>0</v>
      </c>
      <c r="H279" s="75">
        <f t="shared" si="62"/>
        <v>0</v>
      </c>
      <c r="I279" s="75">
        <f t="shared" si="62"/>
        <v>0</v>
      </c>
      <c r="J279" s="75">
        <f t="shared" si="62"/>
        <v>0</v>
      </c>
      <c r="K279" s="73"/>
      <c r="L279" s="73"/>
    </row>
    <row r="280" spans="1:20">
      <c r="A280" s="74">
        <f>A230</f>
        <v>0</v>
      </c>
      <c r="B280" s="74"/>
      <c r="C280" s="226"/>
      <c r="D280" s="75">
        <f t="shared" si="62"/>
        <v>0</v>
      </c>
      <c r="E280" s="75">
        <f t="shared" si="62"/>
        <v>0</v>
      </c>
      <c r="F280" s="75">
        <f t="shared" si="62"/>
        <v>0</v>
      </c>
      <c r="G280" s="75">
        <f t="shared" si="62"/>
        <v>0</v>
      </c>
      <c r="H280" s="75">
        <f t="shared" si="62"/>
        <v>0</v>
      </c>
      <c r="I280" s="75">
        <f t="shared" si="62"/>
        <v>0</v>
      </c>
      <c r="J280" s="75">
        <f t="shared" si="62"/>
        <v>0</v>
      </c>
      <c r="K280" s="73"/>
      <c r="L280" s="73"/>
    </row>
    <row r="281" spans="1:20">
      <c r="A281" s="74"/>
      <c r="B281" s="74"/>
      <c r="C281" s="226"/>
      <c r="D281" s="75"/>
      <c r="E281" s="75"/>
      <c r="F281" s="75"/>
      <c r="G281" s="75"/>
      <c r="H281" s="75"/>
      <c r="I281" s="75"/>
      <c r="J281" s="75"/>
      <c r="K281" s="73"/>
      <c r="L281" s="73"/>
    </row>
    <row r="282" spans="1:20">
      <c r="A282" s="9"/>
      <c r="B282" s="9"/>
      <c r="C282" s="9"/>
      <c r="D282" s="9"/>
      <c r="E282" s="9"/>
      <c r="F282" s="9"/>
      <c r="G282" s="9"/>
      <c r="H282" s="9"/>
      <c r="I282" s="9"/>
      <c r="J282" s="9"/>
      <c r="K282" s="73"/>
      <c r="L282" s="73"/>
    </row>
    <row r="283" spans="1:20">
      <c r="A283" s="9"/>
      <c r="B283" s="9"/>
      <c r="C283" s="9"/>
      <c r="D283" s="9"/>
      <c r="E283" s="9"/>
      <c r="F283" s="9"/>
      <c r="G283" s="9"/>
      <c r="H283" s="9"/>
      <c r="I283" s="9"/>
      <c r="J283" s="9"/>
      <c r="K283" s="73"/>
      <c r="L283" s="73"/>
    </row>
    <row r="284" spans="1:20">
      <c r="A284" s="9"/>
      <c r="B284" s="9"/>
      <c r="C284" s="9"/>
      <c r="D284" s="9"/>
      <c r="E284" s="9"/>
      <c r="F284" s="9"/>
      <c r="G284" s="9"/>
      <c r="H284" s="9"/>
      <c r="I284" s="9"/>
      <c r="J284" s="9"/>
      <c r="K284" s="73"/>
      <c r="L284" s="73"/>
    </row>
    <row r="285" spans="1:20">
      <c r="A285" s="74" t="s">
        <v>343</v>
      </c>
      <c r="B285" s="74"/>
      <c r="C285" s="74"/>
      <c r="D285" s="168"/>
      <c r="E285" s="168">
        <f>'5.Closing Stock &amp; W Capital'!F7</f>
        <v>827176.11277500005</v>
      </c>
      <c r="F285" s="168">
        <f>'5.Closing Stock &amp; W Capital'!G7</f>
        <v>1018652.0648062499</v>
      </c>
      <c r="G285" s="168">
        <f>'5.Closing Stock &amp; W Capital'!H7</f>
        <v>1225446.0930000001</v>
      </c>
      <c r="H285" s="168">
        <f>'5.Closing Stock &amp; W Capital'!I7</f>
        <v>1378626.8546250002</v>
      </c>
      <c r="I285" s="168">
        <f>'5.Closing Stock &amp; W Capital'!J7</f>
        <v>1531807.61625</v>
      </c>
      <c r="J285" s="168">
        <f>'5.Closing Stock &amp; W Capital'!K7</f>
        <v>1684988.377875</v>
      </c>
      <c r="K285" s="73"/>
      <c r="L285" s="73"/>
    </row>
    <row r="286" spans="1:20">
      <c r="A286" s="74" t="s">
        <v>344</v>
      </c>
      <c r="B286" s="74"/>
      <c r="C286" s="168"/>
      <c r="D286" s="168">
        <f>'5.Closing Stock &amp; W Capital'!E16</f>
        <v>827176.11277500005</v>
      </c>
      <c r="E286" s="168">
        <f>'5.Closing Stock &amp; W Capital'!F16</f>
        <v>1018652.0648062499</v>
      </c>
      <c r="F286" s="168">
        <f>'5.Closing Stock &amp; W Capital'!G16</f>
        <v>1225446.0930000001</v>
      </c>
      <c r="G286" s="168">
        <f>'5.Closing Stock &amp; W Capital'!H16</f>
        <v>1378626.8546250002</v>
      </c>
      <c r="H286" s="168">
        <f>'5.Closing Stock &amp; W Capital'!I16</f>
        <v>1531807.61625</v>
      </c>
      <c r="I286" s="168">
        <f>'5.Closing Stock &amp; W Capital'!J16</f>
        <v>1684988.377875</v>
      </c>
      <c r="J286" s="168">
        <f>'5.Closing Stock &amp; W Capital'!K16</f>
        <v>1838169.1395</v>
      </c>
      <c r="K286" s="73"/>
      <c r="L286" s="73"/>
    </row>
    <row r="287" spans="1:20">
      <c r="A287" s="74"/>
      <c r="B287" s="74"/>
      <c r="C287" s="171"/>
      <c r="D287" s="168"/>
      <c r="E287" s="168"/>
      <c r="F287" s="168"/>
      <c r="G287" s="168"/>
      <c r="H287" s="168"/>
      <c r="I287" s="168"/>
      <c r="J287" s="168"/>
      <c r="K287" s="73"/>
      <c r="L287" s="73"/>
      <c r="M287" s="73"/>
      <c r="N287" s="73"/>
      <c r="O287" s="73"/>
      <c r="P287" s="73"/>
      <c r="Q287" s="73"/>
      <c r="R287" s="73"/>
      <c r="S287" s="73"/>
      <c r="T287" s="73"/>
    </row>
    <row r="288" spans="1:20">
      <c r="A288" s="76" t="s">
        <v>319</v>
      </c>
      <c r="B288" s="76"/>
      <c r="C288" s="76"/>
      <c r="D288" s="92">
        <f t="shared" ref="D288:J288" si="63">SUM(D233:D285)-D286</f>
        <v>15716346.142725</v>
      </c>
      <c r="E288" s="92">
        <f t="shared" si="63"/>
        <v>20181565.344093751</v>
      </c>
      <c r="F288" s="92">
        <f t="shared" si="63"/>
        <v>24302127.83180625</v>
      </c>
      <c r="G288" s="92">
        <f t="shared" si="63"/>
        <v>27419356.330874998</v>
      </c>
      <c r="H288" s="92">
        <f t="shared" si="63"/>
        <v>30482971.563375</v>
      </c>
      <c r="I288" s="92">
        <f t="shared" si="63"/>
        <v>33546586.795874998</v>
      </c>
      <c r="J288" s="92">
        <f t="shared" si="63"/>
        <v>36610202.028375</v>
      </c>
      <c r="K288" s="73"/>
      <c r="L288" s="73"/>
      <c r="M288" s="73"/>
      <c r="N288" s="73"/>
      <c r="O288" s="73"/>
      <c r="P288" s="73"/>
      <c r="Q288" s="73"/>
      <c r="R288" s="73"/>
      <c r="S288" s="73"/>
      <c r="T288" s="73"/>
    </row>
    <row r="289" spans="1:20">
      <c r="A289" s="76" t="s">
        <v>306</v>
      </c>
      <c r="B289" s="74"/>
      <c r="C289" s="74"/>
      <c r="D289" s="87"/>
      <c r="E289" s="87"/>
      <c r="F289" s="87"/>
      <c r="G289" s="87"/>
      <c r="H289" s="87"/>
      <c r="I289" s="74"/>
      <c r="J289" s="74"/>
      <c r="K289" s="73"/>
      <c r="L289" s="73"/>
      <c r="M289" s="73"/>
      <c r="N289" s="73"/>
      <c r="O289" s="73"/>
      <c r="P289" s="73"/>
      <c r="Q289" s="73"/>
      <c r="R289" s="73"/>
      <c r="S289" s="73"/>
      <c r="T289" s="73"/>
    </row>
    <row r="290" spans="1:20">
      <c r="A290" s="74" t="s">
        <v>185</v>
      </c>
      <c r="B290" s="202">
        <v>1</v>
      </c>
      <c r="C290" s="226"/>
      <c r="D290" s="75">
        <f t="shared" ref="D290:J290" si="64">$B$290*$C$290*12*D172</f>
        <v>0</v>
      </c>
      <c r="E290" s="75">
        <f t="shared" si="64"/>
        <v>0</v>
      </c>
      <c r="F290" s="75">
        <f t="shared" si="64"/>
        <v>0</v>
      </c>
      <c r="G290" s="75">
        <f t="shared" si="64"/>
        <v>0</v>
      </c>
      <c r="H290" s="75">
        <f t="shared" si="64"/>
        <v>0</v>
      </c>
      <c r="I290" s="75">
        <f t="shared" si="64"/>
        <v>0</v>
      </c>
      <c r="J290" s="75">
        <f t="shared" si="64"/>
        <v>0</v>
      </c>
      <c r="K290" s="73"/>
      <c r="L290" s="73"/>
      <c r="M290" s="73"/>
      <c r="N290" s="73"/>
      <c r="O290" s="73"/>
      <c r="P290" s="73"/>
      <c r="Q290" s="73"/>
      <c r="R290" s="73"/>
      <c r="S290" s="73"/>
      <c r="T290" s="73"/>
    </row>
    <row r="291" spans="1:20">
      <c r="A291" s="74" t="s">
        <v>309</v>
      </c>
      <c r="B291" s="202">
        <v>7</v>
      </c>
      <c r="C291" s="202">
        <v>450</v>
      </c>
      <c r="D291" s="75">
        <f>B10*$B$291*$C$291</f>
        <v>154004.41153124996</v>
      </c>
      <c r="E291" s="75">
        <f>C10*$B$291*$C$291</f>
        <v>179671.81345312495</v>
      </c>
      <c r="F291" s="75">
        <f>D10*$B$291*$C$291*F172</f>
        <v>205339.21537499997</v>
      </c>
      <c r="G291" s="75">
        <f>E10*$B$291*$C$291*G172</f>
        <v>231006.61729687502</v>
      </c>
      <c r="H291" s="75">
        <f>F10*$B$291*$C$291*H172</f>
        <v>256674.01921874995</v>
      </c>
      <c r="I291" s="75">
        <f>G10*$B$291*$C$291*I172</f>
        <v>282341.42114062503</v>
      </c>
      <c r="J291" s="75">
        <f>H10*$B$291*$C$291*J172</f>
        <v>308008.82306249999</v>
      </c>
      <c r="K291" s="73"/>
      <c r="L291" s="73"/>
      <c r="M291" s="73"/>
      <c r="N291" s="159"/>
      <c r="O291" s="73"/>
      <c r="P291" s="73"/>
      <c r="Q291" s="73"/>
      <c r="R291" s="73"/>
      <c r="S291" s="73"/>
      <c r="T291" s="73"/>
    </row>
    <row r="292" spans="1:20">
      <c r="A292" s="74" t="s">
        <v>144</v>
      </c>
      <c r="B292" s="74">
        <v>120</v>
      </c>
      <c r="C292" s="202">
        <v>10</v>
      </c>
      <c r="D292" s="75">
        <f>$B$292*$C$292*B10</f>
        <v>58668.347249999992</v>
      </c>
      <c r="E292" s="75">
        <f>$B$292*$C$292*C10</f>
        <v>68446.40512499999</v>
      </c>
      <c r="F292" s="75">
        <f>$B$292*$C$292*F172*D10</f>
        <v>78224.462999999989</v>
      </c>
      <c r="G292" s="75">
        <f>$B$292*$C$292*G172*E10</f>
        <v>88002.520875000002</v>
      </c>
      <c r="H292" s="75">
        <f>$B$292*$C$292*H172*F10</f>
        <v>97780.578749999986</v>
      </c>
      <c r="I292" s="75">
        <f>$B$292*$C$292*I172*G10</f>
        <v>107558.636625</v>
      </c>
      <c r="J292" s="75">
        <f>$B$292*$C$292*J172*H10</f>
        <v>117336.6945</v>
      </c>
      <c r="K292" s="73"/>
      <c r="L292" s="73"/>
      <c r="M292" s="73"/>
      <c r="N292" s="73"/>
      <c r="O292" s="73"/>
      <c r="P292" s="73"/>
      <c r="Q292" s="73"/>
      <c r="R292" s="73"/>
      <c r="S292" s="73"/>
      <c r="T292" s="73"/>
    </row>
    <row r="293" spans="1:20">
      <c r="A293" s="74" t="s">
        <v>457</v>
      </c>
      <c r="B293" s="74"/>
      <c r="C293" s="202">
        <v>30</v>
      </c>
      <c r="D293" s="75">
        <f>SUM(B120:B141)*$C$293</f>
        <v>113816.59366499999</v>
      </c>
      <c r="E293" s="75">
        <f>SUM(C120:C141)*$C$293</f>
        <v>132786.02594249998</v>
      </c>
      <c r="F293" s="75">
        <f>SUM(D120:D141)*$C$293*F172</f>
        <v>151755.45821999997</v>
      </c>
      <c r="G293" s="75">
        <f>SUM(E120:E141)*$C$293*G172</f>
        <v>170724.89049749996</v>
      </c>
      <c r="H293" s="75">
        <f>SUM(F120:F141)*$C$293*H172</f>
        <v>189694.32277499995</v>
      </c>
      <c r="I293" s="75">
        <f>SUM(G120:G141)*$C$293*I172</f>
        <v>208663.7550525</v>
      </c>
      <c r="J293" s="75">
        <f>SUM(H120:H141)*$C$293*J172</f>
        <v>227633.18732999999</v>
      </c>
      <c r="K293" s="73"/>
      <c r="L293" s="73"/>
      <c r="M293" s="73"/>
      <c r="N293" s="73"/>
      <c r="O293" s="73"/>
      <c r="P293" s="73"/>
      <c r="Q293" s="73"/>
      <c r="R293" s="73"/>
      <c r="S293" s="73"/>
      <c r="T293" s="73"/>
    </row>
    <row r="294" spans="1:20">
      <c r="A294" s="74" t="s">
        <v>456</v>
      </c>
      <c r="B294" s="74"/>
      <c r="C294" s="202">
        <v>25</v>
      </c>
      <c r="D294" s="75">
        <f>SUM(B120:B141)*$C$294</f>
        <v>94847.161387500004</v>
      </c>
      <c r="E294" s="75">
        <f>SUM(C120:C141)*$C$294</f>
        <v>110655.02161874999</v>
      </c>
      <c r="F294" s="75">
        <f>SUM(D120:D141)*$C$294*F172</f>
        <v>126462.88184999999</v>
      </c>
      <c r="G294" s="75">
        <f>SUM(E120:E141)*$C$294*G172</f>
        <v>142270.74208124998</v>
      </c>
      <c r="H294" s="75">
        <f>SUM(F120:F141)*$C$294*H172</f>
        <v>158078.60231249998</v>
      </c>
      <c r="I294" s="75">
        <f>SUM(G120:G141)*$C$294*I172</f>
        <v>173886.46254374998</v>
      </c>
      <c r="J294" s="75">
        <f>SUM(H120:H141)*$C$294*J172</f>
        <v>189694.32277500001</v>
      </c>
      <c r="K294" s="73"/>
      <c r="L294" s="73"/>
      <c r="M294" s="73"/>
      <c r="N294" s="73"/>
      <c r="O294" s="73"/>
      <c r="P294" s="73"/>
      <c r="Q294" s="73"/>
      <c r="R294" s="73"/>
      <c r="S294" s="73"/>
      <c r="T294" s="73"/>
    </row>
    <row r="295" spans="1:20">
      <c r="A295" s="74"/>
      <c r="B295" s="202"/>
      <c r="C295" s="226"/>
      <c r="D295" s="75"/>
      <c r="E295" s="75"/>
      <c r="F295" s="75"/>
      <c r="G295" s="75"/>
      <c r="H295" s="75"/>
      <c r="I295" s="75"/>
      <c r="J295" s="75"/>
      <c r="K295" s="73"/>
      <c r="L295" s="73"/>
      <c r="M295" s="73"/>
      <c r="N295" s="73"/>
      <c r="O295" s="73"/>
      <c r="P295" s="73"/>
      <c r="Q295" s="73"/>
      <c r="R295" s="73"/>
      <c r="S295" s="73"/>
      <c r="T295" s="73"/>
    </row>
    <row r="296" spans="1:20">
      <c r="A296" s="74"/>
      <c r="B296" s="202"/>
      <c r="C296" s="226"/>
      <c r="D296" s="75"/>
      <c r="E296" s="75"/>
      <c r="F296" s="75"/>
      <c r="G296" s="75"/>
      <c r="H296" s="75"/>
      <c r="I296" s="75"/>
      <c r="J296" s="75"/>
      <c r="K296" s="73"/>
      <c r="L296" s="73"/>
      <c r="M296" s="73"/>
      <c r="N296" s="73"/>
      <c r="O296" s="73"/>
      <c r="P296" s="73"/>
      <c r="Q296" s="73"/>
      <c r="R296" s="73"/>
      <c r="S296" s="73"/>
      <c r="T296" s="73"/>
    </row>
    <row r="297" spans="1:20">
      <c r="A297" s="76" t="s">
        <v>323</v>
      </c>
      <c r="B297" s="207"/>
      <c r="C297" s="207"/>
      <c r="D297" s="92">
        <f t="shared" ref="D297:J297" si="65">SUM(D290:D296)</f>
        <v>421336.51383374992</v>
      </c>
      <c r="E297" s="92">
        <f t="shared" si="65"/>
        <v>491559.26613937493</v>
      </c>
      <c r="F297" s="92">
        <f t="shared" si="65"/>
        <v>561782.01844499994</v>
      </c>
      <c r="G297" s="92">
        <f t="shared" si="65"/>
        <v>632004.77075062494</v>
      </c>
      <c r="H297" s="92">
        <f t="shared" si="65"/>
        <v>702227.52305624995</v>
      </c>
      <c r="I297" s="92">
        <f t="shared" si="65"/>
        <v>772450.27536187496</v>
      </c>
      <c r="J297" s="92">
        <f t="shared" si="65"/>
        <v>842673.02766749996</v>
      </c>
      <c r="K297" s="73"/>
      <c r="L297" s="73"/>
      <c r="M297" s="73"/>
      <c r="N297" s="159"/>
      <c r="O297" s="73"/>
      <c r="P297" s="73"/>
      <c r="Q297" s="73"/>
      <c r="R297" s="73"/>
      <c r="S297" s="73"/>
      <c r="T297" s="73"/>
    </row>
    <row r="298" spans="1:20">
      <c r="A298" s="76" t="s">
        <v>130</v>
      </c>
      <c r="B298" s="76"/>
      <c r="C298" s="76"/>
      <c r="D298" s="92">
        <f t="shared" ref="D298:J298" si="66">D288+D297</f>
        <v>16137682.65655875</v>
      </c>
      <c r="E298" s="92">
        <f t="shared" si="66"/>
        <v>20673124.610233124</v>
      </c>
      <c r="F298" s="92">
        <f t="shared" si="66"/>
        <v>24863909.85025125</v>
      </c>
      <c r="G298" s="92">
        <f t="shared" si="66"/>
        <v>28051361.101625621</v>
      </c>
      <c r="H298" s="92">
        <f t="shared" si="66"/>
        <v>31185199.08643125</v>
      </c>
      <c r="I298" s="92">
        <f t="shared" si="66"/>
        <v>34319037.071236871</v>
      </c>
      <c r="J298" s="92">
        <f t="shared" si="66"/>
        <v>37452875.0560425</v>
      </c>
      <c r="K298" s="73"/>
      <c r="L298" s="73"/>
      <c r="M298" s="73"/>
      <c r="N298" s="73"/>
      <c r="O298" s="73"/>
      <c r="P298" s="73"/>
      <c r="Q298" s="73"/>
      <c r="R298" s="73"/>
      <c r="S298" s="73"/>
      <c r="T298" s="73"/>
    </row>
    <row r="299" spans="1:20">
      <c r="A299" s="74"/>
      <c r="B299" s="74"/>
      <c r="C299" s="74"/>
      <c r="D299" s="87"/>
      <c r="E299" s="87"/>
      <c r="F299" s="87"/>
      <c r="G299" s="87"/>
      <c r="H299" s="87"/>
      <c r="I299" s="74"/>
      <c r="J299" s="74"/>
      <c r="K299" s="73"/>
      <c r="L299" s="73"/>
      <c r="M299" s="73"/>
      <c r="N299" s="73"/>
      <c r="O299" s="73"/>
      <c r="P299" s="73"/>
      <c r="Q299" s="73"/>
      <c r="R299" s="73"/>
      <c r="S299" s="73"/>
      <c r="T299" s="73"/>
    </row>
    <row r="300" spans="1:20">
      <c r="A300" s="76"/>
      <c r="B300" s="76"/>
      <c r="C300" s="76"/>
      <c r="D300" s="87"/>
      <c r="E300" s="87"/>
      <c r="F300" s="87"/>
      <c r="G300" s="87"/>
      <c r="H300" s="87"/>
      <c r="I300" s="74"/>
      <c r="J300" s="74"/>
      <c r="K300" s="73"/>
      <c r="L300" s="73"/>
      <c r="M300" s="73"/>
      <c r="N300" s="73"/>
      <c r="O300" s="73"/>
      <c r="P300" s="73"/>
      <c r="Q300" s="73"/>
      <c r="R300" s="73"/>
      <c r="S300" s="73"/>
      <c r="T300" s="73"/>
    </row>
    <row r="301" spans="1:20">
      <c r="A301" s="76" t="s">
        <v>311</v>
      </c>
      <c r="B301" s="76"/>
      <c r="C301" s="76"/>
      <c r="D301" s="92">
        <f t="shared" ref="D301:J301" si="67">D229-D298</f>
        <v>677167.09252425097</v>
      </c>
      <c r="E301" s="92">
        <f t="shared" si="67"/>
        <v>952564.89644962177</v>
      </c>
      <c r="F301" s="92">
        <f t="shared" si="67"/>
        <v>1258273.3793437444</v>
      </c>
      <c r="G301" s="92">
        <f t="shared" si="67"/>
        <v>1384435.3207443766</v>
      </c>
      <c r="H301" s="92">
        <f t="shared" si="67"/>
        <v>1549646.8662637472</v>
      </c>
      <c r="I301" s="92">
        <f t="shared" si="67"/>
        <v>1716953.9027831182</v>
      </c>
      <c r="J301" s="92">
        <f t="shared" si="67"/>
        <v>1886356.4303025007</v>
      </c>
      <c r="K301" s="73"/>
      <c r="L301" s="73"/>
      <c r="M301" s="73"/>
      <c r="N301" s="73"/>
      <c r="O301" s="73"/>
      <c r="P301" s="73"/>
      <c r="Q301" s="73"/>
      <c r="R301" s="73"/>
      <c r="S301" s="73"/>
      <c r="T301" s="73"/>
    </row>
    <row r="302" spans="1:20">
      <c r="A302" s="73"/>
      <c r="B302" s="73"/>
      <c r="C302" s="73"/>
      <c r="D302" s="73"/>
      <c r="E302" s="73"/>
      <c r="F302" s="73"/>
      <c r="G302" s="73"/>
      <c r="H302" s="73"/>
      <c r="I302" s="73"/>
      <c r="J302" s="73"/>
    </row>
    <row r="303" spans="1:20">
      <c r="A303" s="73" t="s">
        <v>51</v>
      </c>
      <c r="B303" s="73"/>
      <c r="C303" s="73"/>
      <c r="D303" s="73"/>
      <c r="E303" s="73"/>
      <c r="F303" s="73"/>
      <c r="G303" s="73"/>
      <c r="H303" s="73"/>
      <c r="I303" s="73"/>
      <c r="J303" s="73"/>
    </row>
    <row r="304" spans="1:20">
      <c r="A304" s="370" t="s">
        <v>420</v>
      </c>
      <c r="B304" s="370"/>
      <c r="C304" s="370"/>
      <c r="D304" s="370"/>
      <c r="E304" s="370"/>
      <c r="F304" s="370"/>
      <c r="G304" s="370"/>
      <c r="H304" s="370"/>
      <c r="I304" s="370"/>
      <c r="J304" s="370"/>
    </row>
    <row r="306" spans="1:2">
      <c r="A306" t="s">
        <v>537</v>
      </c>
    </row>
    <row r="307" spans="1:2">
      <c r="A307">
        <v>1</v>
      </c>
      <c r="B307" t="s">
        <v>550</v>
      </c>
    </row>
    <row r="308" spans="1:2">
      <c r="A308">
        <v>2</v>
      </c>
      <c r="B308" t="s">
        <v>551</v>
      </c>
    </row>
    <row r="309" spans="1:2">
      <c r="A309">
        <v>3</v>
      </c>
      <c r="B309" s="73" t="s">
        <v>601</v>
      </c>
    </row>
  </sheetData>
  <mergeCells count="5">
    <mergeCell ref="A170:J170"/>
    <mergeCell ref="A2:H2"/>
    <mergeCell ref="A304:J304"/>
    <mergeCell ref="F4:H4"/>
    <mergeCell ref="A3:H3"/>
  </mergeCells>
  <pageMargins left="0.7" right="0.7" top="0.75" bottom="0.75" header="0.3" footer="0.3"/>
  <pageSetup paperSize="9" scale="43" orientation="portrait" r:id="rId1"/>
  <rowBreaks count="1" manualBreakCount="1">
    <brk id="230" max="9" man="1"/>
  </rowBreaks>
</worksheet>
</file>

<file path=xl/worksheets/sheet14.xml><?xml version="1.0" encoding="utf-8"?>
<worksheet xmlns="http://schemas.openxmlformats.org/spreadsheetml/2006/main" xmlns:r="http://schemas.openxmlformats.org/officeDocument/2006/relationships">
  <dimension ref="A3:K192"/>
  <sheetViews>
    <sheetView view="pageBreakPreview" topLeftCell="A145" zoomScale="80" zoomScaleSheetLayoutView="80" workbookViewId="0">
      <selection activeCell="E173" sqref="E173"/>
    </sheetView>
  </sheetViews>
  <sheetFormatPr defaultRowHeight="15"/>
  <cols>
    <col min="1" max="1" width="41.7109375" bestFit="1" customWidth="1"/>
    <col min="2" max="2" width="10.5703125" customWidth="1"/>
    <col min="3" max="3" width="12.140625" customWidth="1"/>
    <col min="4" max="4" width="15.140625" customWidth="1"/>
    <col min="5" max="8" width="17.28515625" customWidth="1"/>
    <col min="9" max="10" width="16.85546875" bestFit="1" customWidth="1"/>
  </cols>
  <sheetData>
    <row r="3" spans="1:8" ht="18.75">
      <c r="A3" s="368" t="s">
        <v>746</v>
      </c>
      <c r="B3" s="368"/>
      <c r="C3" s="368"/>
      <c r="D3" s="368"/>
      <c r="E3" s="368"/>
      <c r="F3" s="368"/>
      <c r="G3" s="368"/>
      <c r="H3" s="368"/>
    </row>
    <row r="4" spans="1:8" ht="18.75">
      <c r="A4" s="368" t="s">
        <v>586</v>
      </c>
      <c r="B4" s="368"/>
      <c r="C4" s="368"/>
      <c r="D4" s="368"/>
      <c r="E4" s="368"/>
      <c r="F4" s="368"/>
      <c r="G4" s="368"/>
      <c r="H4" s="368"/>
    </row>
    <row r="5" spans="1:8">
      <c r="A5" s="73" t="s">
        <v>160</v>
      </c>
      <c r="B5" s="219">
        <v>8</v>
      </c>
      <c r="C5" s="73" t="s">
        <v>467</v>
      </c>
      <c r="D5" s="73"/>
      <c r="E5" s="73"/>
      <c r="F5" s="73"/>
      <c r="G5" s="73"/>
      <c r="H5" s="73"/>
    </row>
    <row r="6" spans="1:8">
      <c r="A6" s="73" t="s">
        <v>161</v>
      </c>
      <c r="B6" s="248">
        <v>8</v>
      </c>
      <c r="C6" s="73"/>
      <c r="D6" s="73"/>
      <c r="E6" s="73"/>
      <c r="F6" s="73"/>
      <c r="G6" s="73"/>
      <c r="H6" s="73"/>
    </row>
    <row r="7" spans="1:8">
      <c r="A7" s="73"/>
      <c r="B7" s="248"/>
      <c r="C7" s="73"/>
      <c r="D7" s="73"/>
      <c r="E7" s="73"/>
      <c r="F7" s="73"/>
      <c r="G7" s="73"/>
      <c r="H7" s="73"/>
    </row>
    <row r="8" spans="1:8">
      <c r="A8" s="73"/>
      <c r="B8" s="248"/>
      <c r="C8" s="73"/>
      <c r="D8" s="73"/>
      <c r="E8" s="73"/>
      <c r="F8" s="73"/>
      <c r="G8" s="73"/>
      <c r="H8" s="73"/>
    </row>
    <row r="9" spans="1:8">
      <c r="A9" s="73"/>
      <c r="B9" s="73"/>
      <c r="C9" s="73"/>
      <c r="D9" s="73"/>
      <c r="E9" s="73"/>
      <c r="F9" s="73"/>
      <c r="G9" s="73"/>
      <c r="H9" s="73"/>
    </row>
    <row r="10" spans="1:8">
      <c r="A10" s="73"/>
      <c r="B10" s="73"/>
      <c r="C10" s="73"/>
      <c r="D10" s="73"/>
      <c r="E10" s="73"/>
      <c r="F10" s="73"/>
      <c r="G10" s="73"/>
      <c r="H10" s="73"/>
    </row>
    <row r="11" spans="1:8">
      <c r="A11" s="65" t="s">
        <v>0</v>
      </c>
      <c r="B11" s="66" t="s">
        <v>2</v>
      </c>
      <c r="C11" s="66" t="s">
        <v>3</v>
      </c>
      <c r="D11" s="66" t="s">
        <v>4</v>
      </c>
      <c r="E11" s="66" t="s">
        <v>5</v>
      </c>
      <c r="F11" s="66" t="s">
        <v>6</v>
      </c>
      <c r="G11" s="66" t="s">
        <v>168</v>
      </c>
      <c r="H11" s="66" t="s">
        <v>167</v>
      </c>
    </row>
    <row r="12" spans="1:8">
      <c r="A12" s="74" t="s">
        <v>169</v>
      </c>
      <c r="B12" s="273">
        <f>B32/($B$5*$B$6)</f>
        <v>40.741907812500003</v>
      </c>
      <c r="C12" s="273">
        <f t="shared" ref="C12:H12" si="0">C32/($B$5*$B$6)</f>
        <v>61.112861718750011</v>
      </c>
      <c r="D12" s="273">
        <f t="shared" si="0"/>
        <v>81.483815625000005</v>
      </c>
      <c r="E12" s="273">
        <f t="shared" si="0"/>
        <v>101.85476953125</v>
      </c>
      <c r="F12" s="273">
        <f t="shared" si="0"/>
        <v>122.22572343749999</v>
      </c>
      <c r="G12" s="273">
        <f t="shared" si="0"/>
        <v>142.59667734374997</v>
      </c>
      <c r="H12" s="273">
        <f t="shared" si="0"/>
        <v>162.96763124999998</v>
      </c>
    </row>
    <row r="13" spans="1:8">
      <c r="A13" s="74" t="str">
        <f>'10.Grain Production details'!A67</f>
        <v>Soybean</v>
      </c>
      <c r="B13" s="74">
        <f>'10.Grain Production details'!B67</f>
        <v>0</v>
      </c>
      <c r="C13" s="74">
        <f>'10.Grain Production details'!C67</f>
        <v>0</v>
      </c>
      <c r="D13" s="74">
        <f>'10.Grain Production details'!D67</f>
        <v>0</v>
      </c>
      <c r="E13" s="74">
        <f>'10.Grain Production details'!E67</f>
        <v>0</v>
      </c>
      <c r="F13" s="74">
        <f>'10.Grain Production details'!F67</f>
        <v>0</v>
      </c>
      <c r="G13" s="74">
        <f>'10.Grain Production details'!G67</f>
        <v>0</v>
      </c>
      <c r="H13" s="74">
        <f>'10.Grain Production details'!H67</f>
        <v>0</v>
      </c>
    </row>
    <row r="14" spans="1:8">
      <c r="A14" s="74" t="str">
        <f>'10.Grain Production details'!A68</f>
        <v>Red Gram/Tur</v>
      </c>
      <c r="B14" s="74">
        <f>'10.Grain Production details'!B68</f>
        <v>864.12000000000012</v>
      </c>
      <c r="C14" s="74">
        <f>'10.Grain Production details'!C68</f>
        <v>1296.1800000000003</v>
      </c>
      <c r="D14" s="74">
        <f>'10.Grain Production details'!D68</f>
        <v>1728.2400000000002</v>
      </c>
      <c r="E14" s="74">
        <f>'10.Grain Production details'!E68</f>
        <v>2160.3000000000002</v>
      </c>
      <c r="F14" s="74">
        <f>'10.Grain Production details'!F68</f>
        <v>2592.36</v>
      </c>
      <c r="G14" s="74">
        <f>'10.Grain Production details'!G68</f>
        <v>3024.42</v>
      </c>
      <c r="H14" s="74">
        <f>'10.Grain Production details'!H68</f>
        <v>3456.48</v>
      </c>
    </row>
    <row r="15" spans="1:8">
      <c r="A15" s="74" t="str">
        <f>'10.Grain Production details'!A69</f>
        <v>Paddy/Rice</v>
      </c>
      <c r="B15" s="74">
        <f>'10.Grain Production details'!B69</f>
        <v>0</v>
      </c>
      <c r="C15" s="74">
        <f>'10.Grain Production details'!C69</f>
        <v>0</v>
      </c>
      <c r="D15" s="74">
        <f>'10.Grain Production details'!D69</f>
        <v>0</v>
      </c>
      <c r="E15" s="74">
        <f>'10.Grain Production details'!E69</f>
        <v>0</v>
      </c>
      <c r="F15" s="74">
        <f>'10.Grain Production details'!F69</f>
        <v>0</v>
      </c>
      <c r="G15" s="74">
        <f>'10.Grain Production details'!G69</f>
        <v>0</v>
      </c>
      <c r="H15" s="74">
        <f>'10.Grain Production details'!H69</f>
        <v>0</v>
      </c>
    </row>
    <row r="16" spans="1:8">
      <c r="A16" s="74" t="str">
        <f>'10.Grain Production details'!A70</f>
        <v>Green Gram/ Moong</v>
      </c>
      <c r="B16" s="74">
        <f>'10.Grain Production details'!B70</f>
        <v>467.98919999999998</v>
      </c>
      <c r="C16" s="74">
        <f>'10.Grain Production details'!C70</f>
        <v>701.98380000000009</v>
      </c>
      <c r="D16" s="74">
        <f>'10.Grain Production details'!D70</f>
        <v>935.97839999999997</v>
      </c>
      <c r="E16" s="74">
        <f>'10.Grain Production details'!E70</f>
        <v>1169.973</v>
      </c>
      <c r="F16" s="74">
        <f>'10.Grain Production details'!F70</f>
        <v>1403.9675999999999</v>
      </c>
      <c r="G16" s="74">
        <f>'10.Grain Production details'!G70</f>
        <v>1637.9621999999999</v>
      </c>
      <c r="H16" s="74">
        <f>'10.Grain Production details'!H70</f>
        <v>1871.9567999999997</v>
      </c>
    </row>
    <row r="17" spans="1:8">
      <c r="A17" s="74" t="str">
        <f>'10.Grain Production details'!A71</f>
        <v>Maize</v>
      </c>
      <c r="B17" s="74">
        <f>'10.Grain Production details'!B71</f>
        <v>0</v>
      </c>
      <c r="C17" s="74">
        <f>'10.Grain Production details'!C71</f>
        <v>0</v>
      </c>
      <c r="D17" s="74">
        <f>'10.Grain Production details'!D71</f>
        <v>0</v>
      </c>
      <c r="E17" s="74">
        <f>'10.Grain Production details'!E71</f>
        <v>0</v>
      </c>
      <c r="F17" s="74">
        <f>'10.Grain Production details'!F71</f>
        <v>0</v>
      </c>
      <c r="G17" s="74">
        <f>'10.Grain Production details'!G71</f>
        <v>0</v>
      </c>
      <c r="H17" s="74">
        <f>'10.Grain Production details'!H71</f>
        <v>0</v>
      </c>
    </row>
    <row r="18" spans="1:8">
      <c r="A18" s="74" t="str">
        <f>'10.Grain Production details'!A72</f>
        <v>Black Gram/Udid</v>
      </c>
      <c r="B18" s="74">
        <f>'10.Grain Production details'!B72</f>
        <v>238.76999999999998</v>
      </c>
      <c r="C18" s="74">
        <f>'10.Grain Production details'!C72</f>
        <v>358.15500000000003</v>
      </c>
      <c r="D18" s="74">
        <f>'10.Grain Production details'!D72</f>
        <v>477.53999999999996</v>
      </c>
      <c r="E18" s="74">
        <f>'10.Grain Production details'!E72</f>
        <v>596.92499999999995</v>
      </c>
      <c r="F18" s="74">
        <f>'10.Grain Production details'!F72</f>
        <v>716.31</v>
      </c>
      <c r="G18" s="74">
        <f>'10.Grain Production details'!G72</f>
        <v>835.69499999999994</v>
      </c>
      <c r="H18" s="74">
        <f>'10.Grain Production details'!H72</f>
        <v>955.07999999999981</v>
      </c>
    </row>
    <row r="19" spans="1:8">
      <c r="A19" s="74" t="str">
        <f>'10.Grain Production details'!A73</f>
        <v>Bajra</v>
      </c>
      <c r="B19" s="74">
        <f>'10.Grain Production details'!B73</f>
        <v>0</v>
      </c>
      <c r="C19" s="74">
        <f>'10.Grain Production details'!C73</f>
        <v>0</v>
      </c>
      <c r="D19" s="74">
        <f>'10.Grain Production details'!D73</f>
        <v>0</v>
      </c>
      <c r="E19" s="74">
        <f>'10.Grain Production details'!E73</f>
        <v>0</v>
      </c>
      <c r="F19" s="74">
        <f>'10.Grain Production details'!F73</f>
        <v>0</v>
      </c>
      <c r="G19" s="74">
        <f>'10.Grain Production details'!G73</f>
        <v>0</v>
      </c>
      <c r="H19" s="74">
        <f>'10.Grain Production details'!H73</f>
        <v>0</v>
      </c>
    </row>
    <row r="20" spans="1:8">
      <c r="A20" s="74" t="str">
        <f>'10.Grain Production details'!A74</f>
        <v>Jawar</v>
      </c>
      <c r="B20" s="74">
        <f>'10.Grain Production details'!B74</f>
        <v>0</v>
      </c>
      <c r="C20" s="74">
        <f>'10.Grain Production details'!C74</f>
        <v>0</v>
      </c>
      <c r="D20" s="74">
        <f>'10.Grain Production details'!D74</f>
        <v>0</v>
      </c>
      <c r="E20" s="74">
        <f>'10.Grain Production details'!E74</f>
        <v>0</v>
      </c>
      <c r="F20" s="74">
        <f>'10.Grain Production details'!F74</f>
        <v>0</v>
      </c>
      <c r="G20" s="74">
        <f>'10.Grain Production details'!G74</f>
        <v>0</v>
      </c>
      <c r="H20" s="74">
        <f>'10.Grain Production details'!H74</f>
        <v>0</v>
      </c>
    </row>
    <row r="21" spans="1:8">
      <c r="A21" s="74" t="str">
        <f>'10.Grain Production details'!A75</f>
        <v>Sunflower</v>
      </c>
      <c r="B21" s="74">
        <f>'10.Grain Production details'!B75</f>
        <v>0</v>
      </c>
      <c r="C21" s="74">
        <f>'10.Grain Production details'!C75</f>
        <v>0</v>
      </c>
      <c r="D21" s="74">
        <f>'10.Grain Production details'!D75</f>
        <v>0</v>
      </c>
      <c r="E21" s="74">
        <f>'10.Grain Production details'!E75</f>
        <v>0</v>
      </c>
      <c r="F21" s="74">
        <f>'10.Grain Production details'!F75</f>
        <v>0</v>
      </c>
      <c r="G21" s="74">
        <f>'10.Grain Production details'!G75</f>
        <v>0</v>
      </c>
      <c r="H21" s="74">
        <f>'10.Grain Production details'!H75</f>
        <v>0</v>
      </c>
    </row>
    <row r="22" spans="1:8">
      <c r="A22" s="74" t="str">
        <f>'10.Grain Production details'!A76</f>
        <v>Wheat</v>
      </c>
      <c r="B22" s="74">
        <f>'10.Grain Production details'!B76</f>
        <v>204.66</v>
      </c>
      <c r="C22" s="74">
        <f>'10.Grain Production details'!C76</f>
        <v>306.99</v>
      </c>
      <c r="D22" s="74">
        <f>'10.Grain Production details'!D76</f>
        <v>409.31999999999994</v>
      </c>
      <c r="E22" s="74">
        <f>'10.Grain Production details'!E76</f>
        <v>511.64999999999992</v>
      </c>
      <c r="F22" s="74">
        <f>'10.Grain Production details'!F76</f>
        <v>613.9799999999999</v>
      </c>
      <c r="G22" s="74">
        <f>'10.Grain Production details'!G76</f>
        <v>716.30999999999983</v>
      </c>
      <c r="H22" s="74">
        <f>'10.Grain Production details'!H76</f>
        <v>818.63999999999976</v>
      </c>
    </row>
    <row r="23" spans="1:8">
      <c r="A23" s="74" t="str">
        <f>'10.Grain Production details'!A77</f>
        <v>Bengal Gram/Channa</v>
      </c>
      <c r="B23" s="74">
        <f>'10.Grain Production details'!B77</f>
        <v>460.48500000000007</v>
      </c>
      <c r="C23" s="74">
        <f>'10.Grain Production details'!C77</f>
        <v>690.72750000000019</v>
      </c>
      <c r="D23" s="74">
        <f>'10.Grain Production details'!D77</f>
        <v>920.97000000000014</v>
      </c>
      <c r="E23" s="74">
        <f>'10.Grain Production details'!E77</f>
        <v>1151.2125000000001</v>
      </c>
      <c r="F23" s="74">
        <f>'10.Grain Production details'!F77</f>
        <v>1381.4550000000002</v>
      </c>
      <c r="G23" s="74">
        <f>'10.Grain Production details'!G77</f>
        <v>1611.6975</v>
      </c>
      <c r="H23" s="74">
        <f>'10.Grain Production details'!H77</f>
        <v>1841.94</v>
      </c>
    </row>
    <row r="24" spans="1:8">
      <c r="A24" s="74" t="str">
        <f>'10.Grain Production details'!A78</f>
        <v>Jawar</v>
      </c>
      <c r="B24" s="74">
        <f>'10.Grain Production details'!B78</f>
        <v>0</v>
      </c>
      <c r="C24" s="74">
        <f>'10.Grain Production details'!C78</f>
        <v>0</v>
      </c>
      <c r="D24" s="74">
        <f>'10.Grain Production details'!D78</f>
        <v>0</v>
      </c>
      <c r="E24" s="74">
        <f>'10.Grain Production details'!E78</f>
        <v>0</v>
      </c>
      <c r="F24" s="74">
        <f>'10.Grain Production details'!F78</f>
        <v>0</v>
      </c>
      <c r="G24" s="74">
        <f>'10.Grain Production details'!G78</f>
        <v>0</v>
      </c>
      <c r="H24" s="74">
        <f>'10.Grain Production details'!H78</f>
        <v>0</v>
      </c>
    </row>
    <row r="25" spans="1:8">
      <c r="A25" s="74" t="str">
        <f>'10.Grain Production details'!A79</f>
        <v>Maize</v>
      </c>
      <c r="B25" s="74">
        <f>'10.Grain Production details'!B79</f>
        <v>0</v>
      </c>
      <c r="C25" s="74">
        <f>'10.Grain Production details'!C79</f>
        <v>0</v>
      </c>
      <c r="D25" s="74">
        <f>'10.Grain Production details'!D79</f>
        <v>0</v>
      </c>
      <c r="E25" s="74">
        <f>'10.Grain Production details'!E79</f>
        <v>0</v>
      </c>
      <c r="F25" s="74">
        <f>'10.Grain Production details'!F79</f>
        <v>0</v>
      </c>
      <c r="G25" s="74">
        <f>'10.Grain Production details'!G79</f>
        <v>0</v>
      </c>
      <c r="H25" s="74">
        <f>'10.Grain Production details'!H79</f>
        <v>0</v>
      </c>
    </row>
    <row r="26" spans="1:8">
      <c r="A26" s="74" t="str">
        <f>'10.Grain Production details'!A80</f>
        <v>Safflower</v>
      </c>
      <c r="B26" s="74">
        <f>'10.Grain Production details'!B80</f>
        <v>0</v>
      </c>
      <c r="C26" s="74">
        <f>'10.Grain Production details'!C80</f>
        <v>0</v>
      </c>
      <c r="D26" s="74">
        <f>'10.Grain Production details'!D80</f>
        <v>0</v>
      </c>
      <c r="E26" s="74">
        <f>'10.Grain Production details'!E80</f>
        <v>0</v>
      </c>
      <c r="F26" s="74">
        <f>'10.Grain Production details'!F80</f>
        <v>0</v>
      </c>
      <c r="G26" s="74">
        <f>'10.Grain Production details'!G80</f>
        <v>0</v>
      </c>
      <c r="H26" s="74">
        <f>'10.Grain Production details'!H80</f>
        <v>0</v>
      </c>
    </row>
    <row r="27" spans="1:8">
      <c r="A27" s="74" t="str">
        <f>'10.Grain Production details'!A81</f>
        <v>Groundnut</v>
      </c>
      <c r="B27" s="74">
        <f>'10.Grain Production details'!B81</f>
        <v>322.33949999999999</v>
      </c>
      <c r="C27" s="74">
        <f>'10.Grain Production details'!C81</f>
        <v>483.50925000000001</v>
      </c>
      <c r="D27" s="74">
        <f>'10.Grain Production details'!D81</f>
        <v>644.67899999999997</v>
      </c>
      <c r="E27" s="74">
        <f>'10.Grain Production details'!E81</f>
        <v>805.84874999999988</v>
      </c>
      <c r="F27" s="74">
        <f>'10.Grain Production details'!F81</f>
        <v>967.01849999999979</v>
      </c>
      <c r="G27" s="74">
        <f>'10.Grain Production details'!G81</f>
        <v>1128.1882499999997</v>
      </c>
      <c r="H27" s="74">
        <f>'10.Grain Production details'!H81</f>
        <v>1289.3579999999997</v>
      </c>
    </row>
    <row r="28" spans="1:8">
      <c r="A28" s="74">
        <f>'10.Grain Production details'!A82</f>
        <v>0</v>
      </c>
      <c r="B28" s="74">
        <f>'10.Grain Production details'!B82</f>
        <v>0</v>
      </c>
      <c r="C28" s="74">
        <f>'10.Grain Production details'!C82</f>
        <v>0</v>
      </c>
      <c r="D28" s="74">
        <f>'10.Grain Production details'!D82</f>
        <v>0</v>
      </c>
      <c r="E28" s="74">
        <f>'10.Grain Production details'!E82</f>
        <v>0</v>
      </c>
      <c r="F28" s="74">
        <f>'10.Grain Production details'!F82</f>
        <v>0</v>
      </c>
      <c r="G28" s="74">
        <f>'10.Grain Production details'!G82</f>
        <v>0</v>
      </c>
      <c r="H28" s="74">
        <f>'10.Grain Production details'!H82</f>
        <v>0</v>
      </c>
    </row>
    <row r="29" spans="1:8">
      <c r="A29" s="74">
        <f>'10.Grain Production details'!A83</f>
        <v>0</v>
      </c>
      <c r="B29" s="74">
        <f>'10.Grain Production details'!B83</f>
        <v>0</v>
      </c>
      <c r="C29" s="74">
        <f>'10.Grain Production details'!C83</f>
        <v>0</v>
      </c>
      <c r="D29" s="74">
        <f>'10.Grain Production details'!D83</f>
        <v>0</v>
      </c>
      <c r="E29" s="74">
        <f>'10.Grain Production details'!E83</f>
        <v>0</v>
      </c>
      <c r="F29" s="74">
        <f>'10.Grain Production details'!F83</f>
        <v>0</v>
      </c>
      <c r="G29" s="74">
        <f>'10.Grain Production details'!G83</f>
        <v>0</v>
      </c>
      <c r="H29" s="74">
        <f>'10.Grain Production details'!H83</f>
        <v>0</v>
      </c>
    </row>
    <row r="30" spans="1:8">
      <c r="A30" s="74" t="str">
        <f>'10.Grain Production details'!A84</f>
        <v>Groundnut</v>
      </c>
      <c r="B30" s="74">
        <f>'10.Grain Production details'!B84</f>
        <v>49.118400000000001</v>
      </c>
      <c r="C30" s="74">
        <f>'10.Grain Production details'!C84</f>
        <v>73.677600000000012</v>
      </c>
      <c r="D30" s="74">
        <f>'10.Grain Production details'!D84</f>
        <v>98.236800000000017</v>
      </c>
      <c r="E30" s="74">
        <f>'10.Grain Production details'!E84</f>
        <v>122.79600000000002</v>
      </c>
      <c r="F30" s="74">
        <f>'10.Grain Production details'!F84</f>
        <v>147.35520000000002</v>
      </c>
      <c r="G30" s="74">
        <f>'10.Grain Production details'!G84</f>
        <v>171.91440000000003</v>
      </c>
      <c r="H30" s="74">
        <f>'10.Grain Production details'!H84</f>
        <v>196.47360000000003</v>
      </c>
    </row>
    <row r="31" spans="1:8">
      <c r="A31" s="74">
        <f>'10.Grain Production details'!A85</f>
        <v>0</v>
      </c>
      <c r="B31" s="74">
        <f>'10.Grain Production details'!B85</f>
        <v>0</v>
      </c>
      <c r="C31" s="74">
        <f>'10.Grain Production details'!C85</f>
        <v>0</v>
      </c>
      <c r="D31" s="74">
        <f>'10.Grain Production details'!D85</f>
        <v>0</v>
      </c>
      <c r="E31" s="74">
        <f>'10.Grain Production details'!E85</f>
        <v>0</v>
      </c>
      <c r="F31" s="74">
        <f>'10.Grain Production details'!F85</f>
        <v>0</v>
      </c>
      <c r="G31" s="74">
        <f>'10.Grain Production details'!G85</f>
        <v>0</v>
      </c>
      <c r="H31" s="74">
        <f>'10.Grain Production details'!H85</f>
        <v>0</v>
      </c>
    </row>
    <row r="32" spans="1:8">
      <c r="A32" s="74" t="s">
        <v>458</v>
      </c>
      <c r="B32" s="74">
        <f>SUM(B13:B31)</f>
        <v>2607.4821000000002</v>
      </c>
      <c r="C32" s="74">
        <f t="shared" ref="C32:H32" si="1">SUM(C13:C31)</f>
        <v>3911.2231500000007</v>
      </c>
      <c r="D32" s="74">
        <f t="shared" si="1"/>
        <v>5214.9642000000003</v>
      </c>
      <c r="E32" s="74">
        <f t="shared" si="1"/>
        <v>6518.70525</v>
      </c>
      <c r="F32" s="74">
        <f t="shared" si="1"/>
        <v>7822.4462999999996</v>
      </c>
      <c r="G32" s="74">
        <f t="shared" si="1"/>
        <v>9126.1873499999983</v>
      </c>
      <c r="H32" s="74">
        <f t="shared" si="1"/>
        <v>10429.928399999999</v>
      </c>
    </row>
    <row r="33" spans="1:8">
      <c r="A33" s="278" t="s">
        <v>164</v>
      </c>
      <c r="B33" s="249">
        <v>0.5</v>
      </c>
      <c r="C33" s="249">
        <f>B33</f>
        <v>0.5</v>
      </c>
      <c r="D33" s="249">
        <f t="shared" ref="D33:H33" si="2">C33</f>
        <v>0.5</v>
      </c>
      <c r="E33" s="249">
        <f t="shared" si="2"/>
        <v>0.5</v>
      </c>
      <c r="F33" s="249">
        <f t="shared" si="2"/>
        <v>0.5</v>
      </c>
      <c r="G33" s="249">
        <f t="shared" si="2"/>
        <v>0.5</v>
      </c>
      <c r="H33" s="249">
        <f t="shared" si="2"/>
        <v>0.5</v>
      </c>
    </row>
    <row r="34" spans="1:8">
      <c r="A34" s="74" t="s">
        <v>468</v>
      </c>
      <c r="B34" s="161">
        <f>1-B33</f>
        <v>0.5</v>
      </c>
      <c r="C34" s="161">
        <f t="shared" ref="C34:H34" si="3">1-C33</f>
        <v>0.5</v>
      </c>
      <c r="D34" s="161">
        <f t="shared" si="3"/>
        <v>0.5</v>
      </c>
      <c r="E34" s="161">
        <f t="shared" si="3"/>
        <v>0.5</v>
      </c>
      <c r="F34" s="161">
        <f t="shared" si="3"/>
        <v>0.5</v>
      </c>
      <c r="G34" s="161">
        <f t="shared" si="3"/>
        <v>0.5</v>
      </c>
      <c r="H34" s="161">
        <f t="shared" si="3"/>
        <v>0.5</v>
      </c>
    </row>
    <row r="35" spans="1:8">
      <c r="A35" s="76" t="s">
        <v>164</v>
      </c>
      <c r="B35" s="230">
        <f>B32*B33</f>
        <v>1303.7410500000001</v>
      </c>
      <c r="C35" s="230">
        <f t="shared" ref="C35:H35" si="4">C32*C33</f>
        <v>1955.6115750000004</v>
      </c>
      <c r="D35" s="230">
        <f t="shared" si="4"/>
        <v>2607.4821000000002</v>
      </c>
      <c r="E35" s="230">
        <f t="shared" si="4"/>
        <v>3259.352625</v>
      </c>
      <c r="F35" s="230">
        <f t="shared" si="4"/>
        <v>3911.2231499999998</v>
      </c>
      <c r="G35" s="230">
        <f t="shared" si="4"/>
        <v>4563.0936749999992</v>
      </c>
      <c r="H35" s="230">
        <f t="shared" si="4"/>
        <v>5214.9641999999994</v>
      </c>
    </row>
    <row r="36" spans="1:8">
      <c r="A36" s="76" t="s">
        <v>165</v>
      </c>
      <c r="B36" s="92"/>
      <c r="C36" s="92"/>
      <c r="D36" s="92"/>
      <c r="E36" s="92"/>
      <c r="F36" s="92"/>
      <c r="G36" s="92"/>
      <c r="H36" s="92"/>
    </row>
    <row r="37" spans="1:8">
      <c r="A37" s="74" t="str">
        <f t="shared" ref="A37:A55" si="5">A13</f>
        <v>Soybean</v>
      </c>
      <c r="B37" s="75">
        <f t="shared" ref="B37:B55" si="6">B13*$B$34</f>
        <v>0</v>
      </c>
      <c r="C37" s="75">
        <f t="shared" ref="C37:H37" si="7">C13*$B$34</f>
        <v>0</v>
      </c>
      <c r="D37" s="75">
        <f t="shared" si="7"/>
        <v>0</v>
      </c>
      <c r="E37" s="75">
        <f t="shared" si="7"/>
        <v>0</v>
      </c>
      <c r="F37" s="75">
        <f t="shared" si="7"/>
        <v>0</v>
      </c>
      <c r="G37" s="75">
        <f t="shared" si="7"/>
        <v>0</v>
      </c>
      <c r="H37" s="75">
        <f t="shared" si="7"/>
        <v>0</v>
      </c>
    </row>
    <row r="38" spans="1:8">
      <c r="A38" s="74" t="str">
        <f t="shared" si="5"/>
        <v>Red Gram/Tur</v>
      </c>
      <c r="B38" s="75">
        <f t="shared" si="6"/>
        <v>432.06000000000006</v>
      </c>
      <c r="C38" s="75">
        <f t="shared" ref="C38:C55" si="8">C14*$C$34</f>
        <v>648.09000000000015</v>
      </c>
      <c r="D38" s="75">
        <f t="shared" ref="D38:D55" si="9">D14*$D$34</f>
        <v>864.12000000000012</v>
      </c>
      <c r="E38" s="75">
        <f t="shared" ref="E38:E55" si="10">E14*$E$34</f>
        <v>1080.1500000000001</v>
      </c>
      <c r="F38" s="75">
        <f t="shared" ref="F38:F55" si="11">F14*$F$34</f>
        <v>1296.18</v>
      </c>
      <c r="G38" s="75">
        <f t="shared" ref="G38:G55" si="12">G14*$G$34</f>
        <v>1512.21</v>
      </c>
      <c r="H38" s="75">
        <f t="shared" ref="H38:H55" si="13">H14*$H$34</f>
        <v>1728.24</v>
      </c>
    </row>
    <row r="39" spans="1:8">
      <c r="A39" s="74" t="str">
        <f t="shared" si="5"/>
        <v>Paddy/Rice</v>
      </c>
      <c r="B39" s="75">
        <f t="shared" si="6"/>
        <v>0</v>
      </c>
      <c r="C39" s="75">
        <f t="shared" si="8"/>
        <v>0</v>
      </c>
      <c r="D39" s="75">
        <f t="shared" si="9"/>
        <v>0</v>
      </c>
      <c r="E39" s="75">
        <f t="shared" si="10"/>
        <v>0</v>
      </c>
      <c r="F39" s="75">
        <f t="shared" si="11"/>
        <v>0</v>
      </c>
      <c r="G39" s="75">
        <f t="shared" si="12"/>
        <v>0</v>
      </c>
      <c r="H39" s="75">
        <f t="shared" si="13"/>
        <v>0</v>
      </c>
    </row>
    <row r="40" spans="1:8">
      <c r="A40" s="74" t="str">
        <f t="shared" si="5"/>
        <v>Green Gram/ Moong</v>
      </c>
      <c r="B40" s="75">
        <f t="shared" si="6"/>
        <v>233.99459999999999</v>
      </c>
      <c r="C40" s="75">
        <f t="shared" si="8"/>
        <v>350.99190000000004</v>
      </c>
      <c r="D40" s="75">
        <f t="shared" si="9"/>
        <v>467.98919999999998</v>
      </c>
      <c r="E40" s="75">
        <f t="shared" si="10"/>
        <v>584.98649999999998</v>
      </c>
      <c r="F40" s="75">
        <f t="shared" si="11"/>
        <v>701.98379999999997</v>
      </c>
      <c r="G40" s="75">
        <f t="shared" si="12"/>
        <v>818.98109999999997</v>
      </c>
      <c r="H40" s="75">
        <f t="shared" si="13"/>
        <v>935.97839999999985</v>
      </c>
    </row>
    <row r="41" spans="1:8">
      <c r="A41" s="74" t="str">
        <f t="shared" si="5"/>
        <v>Maize</v>
      </c>
      <c r="B41" s="75">
        <f t="shared" si="6"/>
        <v>0</v>
      </c>
      <c r="C41" s="75">
        <f t="shared" si="8"/>
        <v>0</v>
      </c>
      <c r="D41" s="75">
        <f t="shared" si="9"/>
        <v>0</v>
      </c>
      <c r="E41" s="75">
        <f t="shared" si="10"/>
        <v>0</v>
      </c>
      <c r="F41" s="75">
        <f t="shared" si="11"/>
        <v>0</v>
      </c>
      <c r="G41" s="75">
        <f t="shared" si="12"/>
        <v>0</v>
      </c>
      <c r="H41" s="75">
        <f t="shared" si="13"/>
        <v>0</v>
      </c>
    </row>
    <row r="42" spans="1:8">
      <c r="A42" s="74" t="str">
        <f t="shared" si="5"/>
        <v>Black Gram/Udid</v>
      </c>
      <c r="B42" s="75">
        <f t="shared" si="6"/>
        <v>119.38499999999999</v>
      </c>
      <c r="C42" s="75">
        <f t="shared" si="8"/>
        <v>179.07750000000001</v>
      </c>
      <c r="D42" s="75">
        <f t="shared" si="9"/>
        <v>238.76999999999998</v>
      </c>
      <c r="E42" s="75">
        <f t="shared" si="10"/>
        <v>298.46249999999998</v>
      </c>
      <c r="F42" s="75">
        <f t="shared" si="11"/>
        <v>358.15499999999997</v>
      </c>
      <c r="G42" s="75">
        <f t="shared" si="12"/>
        <v>417.84749999999997</v>
      </c>
      <c r="H42" s="75">
        <f t="shared" si="13"/>
        <v>477.53999999999991</v>
      </c>
    </row>
    <row r="43" spans="1:8">
      <c r="A43" s="74" t="str">
        <f t="shared" si="5"/>
        <v>Bajra</v>
      </c>
      <c r="B43" s="75">
        <f t="shared" si="6"/>
        <v>0</v>
      </c>
      <c r="C43" s="75">
        <f t="shared" si="8"/>
        <v>0</v>
      </c>
      <c r="D43" s="75">
        <f t="shared" si="9"/>
        <v>0</v>
      </c>
      <c r="E43" s="75">
        <f t="shared" si="10"/>
        <v>0</v>
      </c>
      <c r="F43" s="75">
        <f t="shared" si="11"/>
        <v>0</v>
      </c>
      <c r="G43" s="75">
        <f t="shared" si="12"/>
        <v>0</v>
      </c>
      <c r="H43" s="75">
        <f t="shared" si="13"/>
        <v>0</v>
      </c>
    </row>
    <row r="44" spans="1:8">
      <c r="A44" s="74" t="str">
        <f t="shared" si="5"/>
        <v>Jawar</v>
      </c>
      <c r="B44" s="75">
        <f t="shared" si="6"/>
        <v>0</v>
      </c>
      <c r="C44" s="75">
        <f t="shared" si="8"/>
        <v>0</v>
      </c>
      <c r="D44" s="75">
        <f t="shared" si="9"/>
        <v>0</v>
      </c>
      <c r="E44" s="75">
        <f t="shared" si="10"/>
        <v>0</v>
      </c>
      <c r="F44" s="75">
        <f t="shared" si="11"/>
        <v>0</v>
      </c>
      <c r="G44" s="75">
        <f t="shared" si="12"/>
        <v>0</v>
      </c>
      <c r="H44" s="75">
        <f t="shared" si="13"/>
        <v>0</v>
      </c>
    </row>
    <row r="45" spans="1:8">
      <c r="A45" s="74" t="str">
        <f t="shared" si="5"/>
        <v>Sunflower</v>
      </c>
      <c r="B45" s="75">
        <f t="shared" si="6"/>
        <v>0</v>
      </c>
      <c r="C45" s="75">
        <f t="shared" si="8"/>
        <v>0</v>
      </c>
      <c r="D45" s="75">
        <f t="shared" si="9"/>
        <v>0</v>
      </c>
      <c r="E45" s="75">
        <f t="shared" si="10"/>
        <v>0</v>
      </c>
      <c r="F45" s="75">
        <f t="shared" si="11"/>
        <v>0</v>
      </c>
      <c r="G45" s="75">
        <f t="shared" si="12"/>
        <v>0</v>
      </c>
      <c r="H45" s="75">
        <f t="shared" si="13"/>
        <v>0</v>
      </c>
    </row>
    <row r="46" spans="1:8">
      <c r="A46" s="74" t="str">
        <f t="shared" si="5"/>
        <v>Wheat</v>
      </c>
      <c r="B46" s="75">
        <f t="shared" si="6"/>
        <v>102.33</v>
      </c>
      <c r="C46" s="75">
        <f t="shared" si="8"/>
        <v>153.495</v>
      </c>
      <c r="D46" s="75">
        <f t="shared" si="9"/>
        <v>204.65999999999997</v>
      </c>
      <c r="E46" s="75">
        <f t="shared" si="10"/>
        <v>255.82499999999996</v>
      </c>
      <c r="F46" s="75">
        <f t="shared" si="11"/>
        <v>306.98999999999995</v>
      </c>
      <c r="G46" s="75">
        <f t="shared" si="12"/>
        <v>358.15499999999992</v>
      </c>
      <c r="H46" s="75">
        <f t="shared" si="13"/>
        <v>409.31999999999988</v>
      </c>
    </row>
    <row r="47" spans="1:8">
      <c r="A47" s="74" t="str">
        <f t="shared" si="5"/>
        <v>Bengal Gram/Channa</v>
      </c>
      <c r="B47" s="75">
        <f t="shared" si="6"/>
        <v>230.24250000000004</v>
      </c>
      <c r="C47" s="75">
        <f t="shared" si="8"/>
        <v>345.3637500000001</v>
      </c>
      <c r="D47" s="75">
        <f t="shared" si="9"/>
        <v>460.48500000000007</v>
      </c>
      <c r="E47" s="75">
        <f t="shared" si="10"/>
        <v>575.60625000000005</v>
      </c>
      <c r="F47" s="75">
        <f t="shared" si="11"/>
        <v>690.72750000000008</v>
      </c>
      <c r="G47" s="75">
        <f t="shared" si="12"/>
        <v>805.84875</v>
      </c>
      <c r="H47" s="75">
        <f t="shared" si="13"/>
        <v>920.97</v>
      </c>
    </row>
    <row r="48" spans="1:8">
      <c r="A48" s="74" t="str">
        <f t="shared" si="5"/>
        <v>Jawar</v>
      </c>
      <c r="B48" s="75">
        <f t="shared" si="6"/>
        <v>0</v>
      </c>
      <c r="C48" s="75">
        <f t="shared" si="8"/>
        <v>0</v>
      </c>
      <c r="D48" s="75">
        <f t="shared" si="9"/>
        <v>0</v>
      </c>
      <c r="E48" s="75">
        <f t="shared" si="10"/>
        <v>0</v>
      </c>
      <c r="F48" s="75">
        <f t="shared" si="11"/>
        <v>0</v>
      </c>
      <c r="G48" s="75">
        <f t="shared" si="12"/>
        <v>0</v>
      </c>
      <c r="H48" s="75">
        <f t="shared" si="13"/>
        <v>0</v>
      </c>
    </row>
    <row r="49" spans="1:8">
      <c r="A49" s="74" t="str">
        <f t="shared" si="5"/>
        <v>Maize</v>
      </c>
      <c r="B49" s="75">
        <f t="shared" si="6"/>
        <v>0</v>
      </c>
      <c r="C49" s="75">
        <f t="shared" si="8"/>
        <v>0</v>
      </c>
      <c r="D49" s="75">
        <f t="shared" si="9"/>
        <v>0</v>
      </c>
      <c r="E49" s="75">
        <f t="shared" si="10"/>
        <v>0</v>
      </c>
      <c r="F49" s="75">
        <f t="shared" si="11"/>
        <v>0</v>
      </c>
      <c r="G49" s="75">
        <f t="shared" si="12"/>
        <v>0</v>
      </c>
      <c r="H49" s="75">
        <f t="shared" si="13"/>
        <v>0</v>
      </c>
    </row>
    <row r="50" spans="1:8">
      <c r="A50" s="74" t="str">
        <f t="shared" si="5"/>
        <v>Safflower</v>
      </c>
      <c r="B50" s="75">
        <f t="shared" si="6"/>
        <v>0</v>
      </c>
      <c r="C50" s="75">
        <f t="shared" si="8"/>
        <v>0</v>
      </c>
      <c r="D50" s="75">
        <f t="shared" si="9"/>
        <v>0</v>
      </c>
      <c r="E50" s="75">
        <f t="shared" si="10"/>
        <v>0</v>
      </c>
      <c r="F50" s="75">
        <f t="shared" si="11"/>
        <v>0</v>
      </c>
      <c r="G50" s="75">
        <f t="shared" si="12"/>
        <v>0</v>
      </c>
      <c r="H50" s="75">
        <f t="shared" si="13"/>
        <v>0</v>
      </c>
    </row>
    <row r="51" spans="1:8">
      <c r="A51" s="74" t="str">
        <f t="shared" si="5"/>
        <v>Groundnut</v>
      </c>
      <c r="B51" s="75">
        <f t="shared" si="6"/>
        <v>161.16974999999999</v>
      </c>
      <c r="C51" s="75">
        <f t="shared" si="8"/>
        <v>241.754625</v>
      </c>
      <c r="D51" s="75">
        <f t="shared" si="9"/>
        <v>322.33949999999999</v>
      </c>
      <c r="E51" s="75">
        <f t="shared" si="10"/>
        <v>402.92437499999994</v>
      </c>
      <c r="F51" s="75">
        <f t="shared" si="11"/>
        <v>483.50924999999989</v>
      </c>
      <c r="G51" s="75">
        <f t="shared" si="12"/>
        <v>564.09412499999985</v>
      </c>
      <c r="H51" s="75">
        <f t="shared" si="13"/>
        <v>644.67899999999986</v>
      </c>
    </row>
    <row r="52" spans="1:8">
      <c r="A52" s="74">
        <f t="shared" si="5"/>
        <v>0</v>
      </c>
      <c r="B52" s="75">
        <f t="shared" si="6"/>
        <v>0</v>
      </c>
      <c r="C52" s="75">
        <f t="shared" si="8"/>
        <v>0</v>
      </c>
      <c r="D52" s="75">
        <f t="shared" si="9"/>
        <v>0</v>
      </c>
      <c r="E52" s="75">
        <f t="shared" si="10"/>
        <v>0</v>
      </c>
      <c r="F52" s="75">
        <f t="shared" si="11"/>
        <v>0</v>
      </c>
      <c r="G52" s="75">
        <f t="shared" si="12"/>
        <v>0</v>
      </c>
      <c r="H52" s="75">
        <f t="shared" si="13"/>
        <v>0</v>
      </c>
    </row>
    <row r="53" spans="1:8">
      <c r="A53" s="74">
        <f t="shared" si="5"/>
        <v>0</v>
      </c>
      <c r="B53" s="75">
        <f t="shared" si="6"/>
        <v>0</v>
      </c>
      <c r="C53" s="75">
        <f t="shared" si="8"/>
        <v>0</v>
      </c>
      <c r="D53" s="75">
        <f t="shared" si="9"/>
        <v>0</v>
      </c>
      <c r="E53" s="75">
        <f t="shared" si="10"/>
        <v>0</v>
      </c>
      <c r="F53" s="75">
        <f t="shared" si="11"/>
        <v>0</v>
      </c>
      <c r="G53" s="75">
        <f t="shared" si="12"/>
        <v>0</v>
      </c>
      <c r="H53" s="75">
        <f t="shared" si="13"/>
        <v>0</v>
      </c>
    </row>
    <row r="54" spans="1:8">
      <c r="A54" s="74" t="str">
        <f t="shared" si="5"/>
        <v>Groundnut</v>
      </c>
      <c r="B54" s="75">
        <f t="shared" si="6"/>
        <v>24.559200000000001</v>
      </c>
      <c r="C54" s="75">
        <f t="shared" si="8"/>
        <v>36.838800000000006</v>
      </c>
      <c r="D54" s="75">
        <f t="shared" si="9"/>
        <v>49.118400000000008</v>
      </c>
      <c r="E54" s="75">
        <f t="shared" si="10"/>
        <v>61.39800000000001</v>
      </c>
      <c r="F54" s="75">
        <f t="shared" si="11"/>
        <v>73.677600000000012</v>
      </c>
      <c r="G54" s="75">
        <f t="shared" si="12"/>
        <v>85.957200000000014</v>
      </c>
      <c r="H54" s="75">
        <f t="shared" si="13"/>
        <v>98.236800000000017</v>
      </c>
    </row>
    <row r="55" spans="1:8">
      <c r="A55" s="74">
        <f t="shared" si="5"/>
        <v>0</v>
      </c>
      <c r="B55" s="75">
        <f t="shared" si="6"/>
        <v>0</v>
      </c>
      <c r="C55" s="75">
        <f t="shared" si="8"/>
        <v>0</v>
      </c>
      <c r="D55" s="75">
        <f t="shared" si="9"/>
        <v>0</v>
      </c>
      <c r="E55" s="75">
        <f t="shared" si="10"/>
        <v>0</v>
      </c>
      <c r="F55" s="75">
        <f t="shared" si="11"/>
        <v>0</v>
      </c>
      <c r="G55" s="75">
        <f t="shared" si="12"/>
        <v>0</v>
      </c>
      <c r="H55" s="75">
        <f t="shared" si="13"/>
        <v>0</v>
      </c>
    </row>
    <row r="56" spans="1:8">
      <c r="A56" s="74"/>
      <c r="B56" s="74"/>
      <c r="C56" s="74"/>
      <c r="D56" s="74"/>
      <c r="E56" s="74"/>
      <c r="F56" s="74"/>
      <c r="G56" s="74"/>
      <c r="H56" s="74"/>
    </row>
    <row r="57" spans="1:8">
      <c r="A57" s="76" t="s">
        <v>282</v>
      </c>
      <c r="B57" s="74"/>
      <c r="C57" s="74"/>
      <c r="D57" s="74"/>
      <c r="E57" s="74"/>
      <c r="F57" s="74"/>
      <c r="G57" s="74"/>
      <c r="H57" s="74"/>
    </row>
    <row r="58" spans="1:8">
      <c r="A58" s="74" t="str">
        <f>A37</f>
        <v>Soybean</v>
      </c>
      <c r="B58" s="74"/>
      <c r="C58" s="74"/>
      <c r="D58" s="74"/>
      <c r="E58" s="74"/>
      <c r="F58" s="74"/>
      <c r="G58" s="74"/>
      <c r="H58" s="74"/>
    </row>
    <row r="59" spans="1:8">
      <c r="A59" s="74"/>
      <c r="B59" s="74"/>
      <c r="C59" s="74"/>
      <c r="D59" s="74"/>
      <c r="E59" s="74"/>
      <c r="F59" s="74"/>
      <c r="G59" s="74"/>
      <c r="H59" s="74"/>
    </row>
    <row r="60" spans="1:8">
      <c r="A60" s="74"/>
      <c r="B60" s="74"/>
      <c r="C60" s="74"/>
      <c r="D60" s="74"/>
      <c r="E60" s="74"/>
      <c r="F60" s="74"/>
      <c r="G60" s="74"/>
      <c r="H60" s="74"/>
    </row>
    <row r="61" spans="1:8">
      <c r="A61" s="74"/>
      <c r="B61" s="74"/>
      <c r="C61" s="74"/>
      <c r="D61" s="74"/>
      <c r="E61" s="74"/>
      <c r="F61" s="74"/>
      <c r="G61" s="74"/>
      <c r="H61" s="74"/>
    </row>
    <row r="62" spans="1:8">
      <c r="A62" s="74" t="str">
        <f>A38</f>
        <v>Red Gram/Tur</v>
      </c>
      <c r="B62" s="162"/>
      <c r="C62" s="162"/>
      <c r="D62" s="162"/>
      <c r="E62" s="162"/>
      <c r="F62" s="162"/>
      <c r="G62" s="162"/>
      <c r="H62" s="162"/>
    </row>
    <row r="63" spans="1:8">
      <c r="A63" s="74" t="s">
        <v>459</v>
      </c>
      <c r="B63" s="162">
        <f>B38*80%</f>
        <v>345.64800000000008</v>
      </c>
      <c r="C63" s="162">
        <f t="shared" ref="C63:H63" si="14">C38*80%</f>
        <v>518.47200000000009</v>
      </c>
      <c r="D63" s="162">
        <f t="shared" si="14"/>
        <v>691.29600000000016</v>
      </c>
      <c r="E63" s="162">
        <f t="shared" si="14"/>
        <v>864.12000000000012</v>
      </c>
      <c r="F63" s="162">
        <f t="shared" si="14"/>
        <v>1036.9440000000002</v>
      </c>
      <c r="G63" s="162">
        <f t="shared" si="14"/>
        <v>1209.768</v>
      </c>
      <c r="H63" s="162">
        <f t="shared" si="14"/>
        <v>1382.5920000000001</v>
      </c>
    </row>
    <row r="64" spans="1:8">
      <c r="A64" s="74" t="s">
        <v>141</v>
      </c>
      <c r="B64" s="162">
        <f>B38*20%</f>
        <v>86.41200000000002</v>
      </c>
      <c r="C64" s="162">
        <f t="shared" ref="C64:H64" si="15">C38*20%</f>
        <v>129.61800000000002</v>
      </c>
      <c r="D64" s="162">
        <f t="shared" si="15"/>
        <v>172.82400000000004</v>
      </c>
      <c r="E64" s="162">
        <f t="shared" si="15"/>
        <v>216.03000000000003</v>
      </c>
      <c r="F64" s="162">
        <f t="shared" si="15"/>
        <v>259.23600000000005</v>
      </c>
      <c r="G64" s="162">
        <f t="shared" si="15"/>
        <v>302.44200000000001</v>
      </c>
      <c r="H64" s="162">
        <f t="shared" si="15"/>
        <v>345.64800000000002</v>
      </c>
    </row>
    <row r="65" spans="1:8">
      <c r="A65" s="74" t="str">
        <f>A39</f>
        <v>Paddy/Rice</v>
      </c>
      <c r="B65" s="75"/>
      <c r="C65" s="75"/>
      <c r="D65" s="75"/>
      <c r="E65" s="75"/>
      <c r="F65" s="75"/>
      <c r="G65" s="75"/>
      <c r="H65" s="75"/>
    </row>
    <row r="66" spans="1:8">
      <c r="A66" s="74"/>
      <c r="B66" s="75"/>
      <c r="C66" s="75"/>
      <c r="D66" s="75"/>
      <c r="E66" s="75"/>
      <c r="F66" s="75"/>
      <c r="G66" s="75"/>
      <c r="H66" s="75"/>
    </row>
    <row r="67" spans="1:8">
      <c r="A67" s="74"/>
      <c r="B67" s="75"/>
      <c r="C67" s="75"/>
      <c r="D67" s="75"/>
      <c r="E67" s="75"/>
      <c r="F67" s="75"/>
      <c r="G67" s="75"/>
      <c r="H67" s="75"/>
    </row>
    <row r="68" spans="1:8">
      <c r="A68" s="74"/>
      <c r="B68" s="75"/>
      <c r="C68" s="75"/>
      <c r="D68" s="75"/>
      <c r="E68" s="75"/>
      <c r="F68" s="75"/>
      <c r="G68" s="75"/>
      <c r="H68" s="75"/>
    </row>
    <row r="69" spans="1:8">
      <c r="A69" s="74" t="str">
        <f>A40</f>
        <v>Green Gram/ Moong</v>
      </c>
      <c r="B69" s="75"/>
      <c r="C69" s="75"/>
      <c r="D69" s="75"/>
      <c r="E69" s="75"/>
      <c r="F69" s="75"/>
      <c r="G69" s="75"/>
      <c r="H69" s="75"/>
    </row>
    <row r="70" spans="1:8">
      <c r="A70" s="74" t="s">
        <v>459</v>
      </c>
      <c r="B70" s="75">
        <f>B40*80%</f>
        <v>187.19568000000001</v>
      </c>
      <c r="C70" s="75">
        <f t="shared" ref="C70:H70" si="16">C40*80%</f>
        <v>280.79352000000006</v>
      </c>
      <c r="D70" s="75">
        <f t="shared" si="16"/>
        <v>374.39136000000002</v>
      </c>
      <c r="E70" s="75">
        <f t="shared" si="16"/>
        <v>467.98919999999998</v>
      </c>
      <c r="F70" s="75">
        <f t="shared" si="16"/>
        <v>561.58704</v>
      </c>
      <c r="G70" s="75">
        <f t="shared" si="16"/>
        <v>655.18488000000002</v>
      </c>
      <c r="H70" s="75">
        <f t="shared" si="16"/>
        <v>748.78271999999993</v>
      </c>
    </row>
    <row r="71" spans="1:8">
      <c r="A71" s="74" t="s">
        <v>141</v>
      </c>
      <c r="B71" s="75">
        <f>B40*20%</f>
        <v>46.798920000000003</v>
      </c>
      <c r="C71" s="75">
        <f t="shared" ref="C71:H71" si="17">C40*20%</f>
        <v>70.198380000000014</v>
      </c>
      <c r="D71" s="75">
        <f t="shared" si="17"/>
        <v>93.597840000000005</v>
      </c>
      <c r="E71" s="75">
        <f t="shared" si="17"/>
        <v>116.9973</v>
      </c>
      <c r="F71" s="75">
        <f t="shared" si="17"/>
        <v>140.39676</v>
      </c>
      <c r="G71" s="75">
        <f t="shared" si="17"/>
        <v>163.79622000000001</v>
      </c>
      <c r="H71" s="75">
        <f t="shared" si="17"/>
        <v>187.19567999999998</v>
      </c>
    </row>
    <row r="72" spans="1:8">
      <c r="A72" s="74" t="str">
        <f>A41</f>
        <v>Maize</v>
      </c>
      <c r="B72" s="75"/>
      <c r="C72" s="75"/>
      <c r="D72" s="75"/>
      <c r="E72" s="75"/>
      <c r="F72" s="75"/>
      <c r="G72" s="75"/>
      <c r="H72" s="75"/>
    </row>
    <row r="73" spans="1:8">
      <c r="A73" s="74"/>
      <c r="B73" s="75"/>
      <c r="C73" s="75"/>
      <c r="D73" s="75"/>
      <c r="E73" s="75"/>
      <c r="F73" s="75"/>
      <c r="G73" s="75"/>
      <c r="H73" s="75"/>
    </row>
    <row r="74" spans="1:8">
      <c r="A74" s="74"/>
      <c r="B74" s="75"/>
      <c r="C74" s="75"/>
      <c r="D74" s="75"/>
      <c r="E74" s="75"/>
      <c r="F74" s="75"/>
      <c r="G74" s="75"/>
      <c r="H74" s="75"/>
    </row>
    <row r="75" spans="1:8">
      <c r="A75" s="74"/>
      <c r="B75" s="75"/>
      <c r="C75" s="75"/>
      <c r="D75" s="75"/>
      <c r="E75" s="75"/>
      <c r="F75" s="75"/>
      <c r="G75" s="75"/>
      <c r="H75" s="75"/>
    </row>
    <row r="76" spans="1:8">
      <c r="A76" s="74"/>
      <c r="B76" s="75"/>
      <c r="C76" s="75"/>
      <c r="D76" s="75"/>
      <c r="E76" s="75"/>
      <c r="F76" s="75"/>
      <c r="G76" s="75"/>
      <c r="H76" s="75"/>
    </row>
    <row r="77" spans="1:8">
      <c r="A77" s="74" t="str">
        <f>A42</f>
        <v>Black Gram/Udid</v>
      </c>
      <c r="B77" s="75"/>
      <c r="C77" s="75"/>
      <c r="D77" s="75"/>
      <c r="E77" s="75"/>
      <c r="F77" s="75"/>
      <c r="G77" s="75"/>
      <c r="H77" s="75"/>
    </row>
    <row r="78" spans="1:8">
      <c r="A78" s="74" t="s">
        <v>459</v>
      </c>
      <c r="B78" s="75">
        <f t="shared" ref="B78:H78" si="18">B42*80%</f>
        <v>95.507999999999996</v>
      </c>
      <c r="C78" s="75">
        <f t="shared" si="18"/>
        <v>143.26200000000003</v>
      </c>
      <c r="D78" s="75">
        <f t="shared" si="18"/>
        <v>191.01599999999999</v>
      </c>
      <c r="E78" s="75">
        <f t="shared" si="18"/>
        <v>238.76999999999998</v>
      </c>
      <c r="F78" s="75">
        <f t="shared" si="18"/>
        <v>286.524</v>
      </c>
      <c r="G78" s="75">
        <f t="shared" si="18"/>
        <v>334.27800000000002</v>
      </c>
      <c r="H78" s="75">
        <f t="shared" si="18"/>
        <v>382.03199999999993</v>
      </c>
    </row>
    <row r="79" spans="1:8">
      <c r="A79" s="74" t="s">
        <v>141</v>
      </c>
      <c r="B79" s="75">
        <f t="shared" ref="B79:H79" si="19">B42*20%</f>
        <v>23.876999999999999</v>
      </c>
      <c r="C79" s="75">
        <f t="shared" si="19"/>
        <v>35.815500000000007</v>
      </c>
      <c r="D79" s="75">
        <f t="shared" si="19"/>
        <v>47.753999999999998</v>
      </c>
      <c r="E79" s="75">
        <f t="shared" si="19"/>
        <v>59.692499999999995</v>
      </c>
      <c r="F79" s="75">
        <f t="shared" si="19"/>
        <v>71.631</v>
      </c>
      <c r="G79" s="75">
        <f t="shared" si="19"/>
        <v>83.569500000000005</v>
      </c>
      <c r="H79" s="75">
        <f t="shared" si="19"/>
        <v>95.507999999999981</v>
      </c>
    </row>
    <row r="80" spans="1:8">
      <c r="A80" s="74" t="str">
        <f>A43</f>
        <v>Bajra</v>
      </c>
      <c r="B80" s="75"/>
      <c r="C80" s="75"/>
      <c r="D80" s="75"/>
      <c r="E80" s="75"/>
      <c r="F80" s="75"/>
      <c r="G80" s="75"/>
      <c r="H80" s="75"/>
    </row>
    <row r="81" spans="1:8">
      <c r="A81" s="74"/>
      <c r="B81" s="75"/>
      <c r="C81" s="75"/>
      <c r="D81" s="75"/>
      <c r="E81" s="75"/>
      <c r="F81" s="75"/>
      <c r="G81" s="75"/>
      <c r="H81" s="75"/>
    </row>
    <row r="82" spans="1:8">
      <c r="A82" s="74"/>
      <c r="B82" s="75"/>
      <c r="C82" s="75"/>
      <c r="D82" s="75"/>
      <c r="E82" s="75"/>
      <c r="F82" s="75"/>
      <c r="G82" s="75"/>
      <c r="H82" s="75"/>
    </row>
    <row r="83" spans="1:8">
      <c r="A83" s="74" t="str">
        <f>A44</f>
        <v>Jawar</v>
      </c>
      <c r="B83" s="75"/>
      <c r="C83" s="75"/>
      <c r="D83" s="75"/>
      <c r="E83" s="75"/>
      <c r="F83" s="75"/>
      <c r="G83" s="75"/>
      <c r="H83" s="75"/>
    </row>
    <row r="84" spans="1:8">
      <c r="A84" s="74"/>
      <c r="B84" s="75"/>
      <c r="C84" s="75"/>
      <c r="D84" s="75"/>
      <c r="E84" s="75"/>
      <c r="F84" s="75"/>
      <c r="G84" s="75"/>
      <c r="H84" s="75"/>
    </row>
    <row r="85" spans="1:8">
      <c r="A85" s="74"/>
      <c r="B85" s="75"/>
      <c r="C85" s="75"/>
      <c r="D85" s="75"/>
      <c r="E85" s="75"/>
      <c r="F85" s="75"/>
      <c r="G85" s="75"/>
      <c r="H85" s="75"/>
    </row>
    <row r="86" spans="1:8">
      <c r="A86" s="74"/>
      <c r="B86" s="75"/>
      <c r="C86" s="75"/>
      <c r="D86" s="75"/>
      <c r="E86" s="75"/>
      <c r="F86" s="75"/>
      <c r="G86" s="75"/>
      <c r="H86" s="75"/>
    </row>
    <row r="87" spans="1:8">
      <c r="A87" s="74" t="str">
        <f>A45</f>
        <v>Sunflower</v>
      </c>
      <c r="B87" s="75"/>
      <c r="C87" s="75"/>
      <c r="D87" s="75"/>
      <c r="E87" s="75"/>
      <c r="F87" s="75"/>
      <c r="G87" s="75"/>
      <c r="H87" s="75"/>
    </row>
    <row r="88" spans="1:8">
      <c r="A88" s="74"/>
      <c r="B88" s="75"/>
      <c r="C88" s="75"/>
      <c r="D88" s="75"/>
      <c r="E88" s="75"/>
      <c r="F88" s="75"/>
      <c r="G88" s="75"/>
      <c r="H88" s="75"/>
    </row>
    <row r="89" spans="1:8">
      <c r="A89" s="74"/>
      <c r="B89" s="75"/>
      <c r="C89" s="75"/>
      <c r="D89" s="75"/>
      <c r="E89" s="75"/>
      <c r="F89" s="75"/>
      <c r="G89" s="75"/>
      <c r="H89" s="75"/>
    </row>
    <row r="90" spans="1:8">
      <c r="A90" s="74"/>
      <c r="B90" s="75"/>
      <c r="C90" s="75"/>
      <c r="D90" s="75"/>
      <c r="E90" s="75"/>
      <c r="F90" s="75"/>
      <c r="G90" s="75"/>
      <c r="H90" s="75"/>
    </row>
    <row r="91" spans="1:8">
      <c r="A91" s="74" t="str">
        <f>A46</f>
        <v>Wheat</v>
      </c>
      <c r="B91" s="75"/>
      <c r="C91" s="75"/>
      <c r="D91" s="75"/>
      <c r="E91" s="75"/>
      <c r="F91" s="75"/>
      <c r="G91" s="75"/>
      <c r="H91" s="75"/>
    </row>
    <row r="92" spans="1:8">
      <c r="A92" s="74"/>
      <c r="B92" s="75"/>
      <c r="C92" s="75"/>
      <c r="D92" s="75"/>
      <c r="E92" s="75"/>
      <c r="F92" s="75"/>
      <c r="G92" s="75"/>
      <c r="H92" s="75"/>
    </row>
    <row r="93" spans="1:8">
      <c r="A93" s="74"/>
      <c r="B93" s="75"/>
      <c r="C93" s="75"/>
      <c r="D93" s="75"/>
      <c r="E93" s="75"/>
      <c r="F93" s="75"/>
      <c r="G93" s="75"/>
      <c r="H93" s="75"/>
    </row>
    <row r="94" spans="1:8">
      <c r="A94" s="74" t="str">
        <f>A47</f>
        <v>Bengal Gram/Channa</v>
      </c>
      <c r="B94" s="75"/>
      <c r="C94" s="75"/>
      <c r="D94" s="75"/>
      <c r="E94" s="75"/>
      <c r="F94" s="75"/>
      <c r="G94" s="75"/>
      <c r="H94" s="75"/>
    </row>
    <row r="95" spans="1:8">
      <c r="A95" s="74" t="s">
        <v>459</v>
      </c>
      <c r="B95" s="75">
        <f t="shared" ref="B95:H95" si="20">B47*80%</f>
        <v>184.19400000000005</v>
      </c>
      <c r="C95" s="75">
        <f t="shared" si="20"/>
        <v>276.29100000000011</v>
      </c>
      <c r="D95" s="75">
        <f t="shared" si="20"/>
        <v>368.38800000000009</v>
      </c>
      <c r="E95" s="75">
        <f t="shared" si="20"/>
        <v>460.48500000000007</v>
      </c>
      <c r="F95" s="75">
        <f t="shared" si="20"/>
        <v>552.58200000000011</v>
      </c>
      <c r="G95" s="75">
        <f t="shared" si="20"/>
        <v>644.67900000000009</v>
      </c>
      <c r="H95" s="75">
        <f t="shared" si="20"/>
        <v>736.77600000000007</v>
      </c>
    </row>
    <row r="96" spans="1:8">
      <c r="A96" s="74" t="s">
        <v>141</v>
      </c>
      <c r="B96" s="75">
        <f t="shared" ref="B96:H96" si="21">B47*20%</f>
        <v>46.048500000000011</v>
      </c>
      <c r="C96" s="75">
        <f t="shared" si="21"/>
        <v>69.072750000000028</v>
      </c>
      <c r="D96" s="75">
        <f t="shared" si="21"/>
        <v>92.097000000000023</v>
      </c>
      <c r="E96" s="75">
        <f t="shared" si="21"/>
        <v>115.12125000000002</v>
      </c>
      <c r="F96" s="75">
        <f t="shared" si="21"/>
        <v>138.14550000000003</v>
      </c>
      <c r="G96" s="75">
        <f t="shared" si="21"/>
        <v>161.16975000000002</v>
      </c>
      <c r="H96" s="75">
        <f t="shared" si="21"/>
        <v>184.19400000000002</v>
      </c>
    </row>
    <row r="97" spans="1:8">
      <c r="A97" s="74" t="str">
        <f>A48</f>
        <v>Jawar</v>
      </c>
      <c r="B97" s="75"/>
      <c r="C97" s="75"/>
      <c r="D97" s="75"/>
      <c r="E97" s="75"/>
      <c r="F97" s="75"/>
      <c r="G97" s="75"/>
      <c r="H97" s="75"/>
    </row>
    <row r="98" spans="1:8">
      <c r="A98" s="74"/>
      <c r="B98" s="75"/>
      <c r="C98" s="75"/>
      <c r="D98" s="75"/>
      <c r="E98" s="75"/>
      <c r="F98" s="75"/>
      <c r="G98" s="75"/>
      <c r="H98" s="75"/>
    </row>
    <row r="99" spans="1:8">
      <c r="A99" s="74"/>
      <c r="B99" s="75"/>
      <c r="C99" s="75"/>
      <c r="D99" s="75"/>
      <c r="E99" s="75"/>
      <c r="F99" s="75"/>
      <c r="G99" s="75"/>
      <c r="H99" s="75"/>
    </row>
    <row r="100" spans="1:8">
      <c r="A100" s="74" t="str">
        <f>A49</f>
        <v>Maize</v>
      </c>
      <c r="B100" s="75"/>
      <c r="C100" s="75"/>
      <c r="D100" s="75"/>
      <c r="E100" s="75"/>
      <c r="F100" s="75"/>
      <c r="G100" s="75"/>
      <c r="H100" s="75"/>
    </row>
    <row r="101" spans="1:8">
      <c r="A101" s="74"/>
      <c r="B101" s="75"/>
      <c r="C101" s="75"/>
      <c r="D101" s="75"/>
      <c r="E101" s="75"/>
      <c r="F101" s="75"/>
      <c r="G101" s="75"/>
      <c r="H101" s="75"/>
    </row>
    <row r="102" spans="1:8">
      <c r="A102" s="74"/>
      <c r="B102" s="75"/>
      <c r="C102" s="75"/>
      <c r="D102" s="75"/>
      <c r="E102" s="75"/>
      <c r="F102" s="75"/>
      <c r="G102" s="75"/>
      <c r="H102" s="75"/>
    </row>
    <row r="103" spans="1:8">
      <c r="A103" s="74" t="str">
        <f>A50</f>
        <v>Safflower</v>
      </c>
      <c r="B103" s="75"/>
      <c r="C103" s="75"/>
      <c r="D103" s="75"/>
      <c r="E103" s="75"/>
      <c r="F103" s="75"/>
      <c r="G103" s="75"/>
      <c r="H103" s="75"/>
    </row>
    <row r="104" spans="1:8">
      <c r="A104" s="74"/>
      <c r="B104" s="75"/>
      <c r="C104" s="75"/>
      <c r="D104" s="75"/>
      <c r="E104" s="75"/>
      <c r="F104" s="75"/>
      <c r="G104" s="75"/>
      <c r="H104" s="75"/>
    </row>
    <row r="105" spans="1:8">
      <c r="A105" s="74"/>
      <c r="B105" s="75"/>
      <c r="C105" s="75"/>
      <c r="D105" s="75"/>
      <c r="E105" s="75"/>
      <c r="F105" s="75"/>
      <c r="G105" s="75"/>
      <c r="H105" s="75"/>
    </row>
    <row r="106" spans="1:8">
      <c r="A106" s="74" t="str">
        <f>A51</f>
        <v>Groundnut</v>
      </c>
      <c r="B106" s="75"/>
      <c r="C106" s="75"/>
      <c r="D106" s="75"/>
      <c r="E106" s="75"/>
      <c r="F106" s="75"/>
      <c r="G106" s="75"/>
      <c r="H106" s="75"/>
    </row>
    <row r="107" spans="1:8">
      <c r="A107" s="74"/>
      <c r="B107" s="75"/>
      <c r="C107" s="75"/>
      <c r="D107" s="75"/>
      <c r="E107" s="75"/>
      <c r="F107" s="75"/>
      <c r="G107" s="75"/>
      <c r="H107" s="75"/>
    </row>
    <row r="108" spans="1:8">
      <c r="A108" s="74"/>
      <c r="B108" s="75"/>
      <c r="C108" s="75"/>
      <c r="D108" s="75"/>
      <c r="E108" s="75"/>
      <c r="F108" s="75"/>
      <c r="G108" s="75"/>
      <c r="H108" s="75"/>
    </row>
    <row r="109" spans="1:8">
      <c r="A109" s="74">
        <f>A52</f>
        <v>0</v>
      </c>
      <c r="B109" s="75"/>
      <c r="C109" s="75"/>
      <c r="D109" s="75"/>
      <c r="E109" s="75"/>
      <c r="F109" s="75"/>
      <c r="G109" s="75"/>
      <c r="H109" s="75"/>
    </row>
    <row r="110" spans="1:8">
      <c r="A110" s="74"/>
      <c r="B110" s="75"/>
      <c r="C110" s="75"/>
      <c r="D110" s="75"/>
      <c r="E110" s="75"/>
      <c r="F110" s="75"/>
      <c r="G110" s="75"/>
      <c r="H110" s="75"/>
    </row>
    <row r="111" spans="1:8">
      <c r="A111" s="74"/>
      <c r="B111" s="75"/>
      <c r="C111" s="75"/>
      <c r="D111" s="75"/>
      <c r="E111" s="75"/>
      <c r="F111" s="75"/>
      <c r="G111" s="75"/>
      <c r="H111" s="75"/>
    </row>
    <row r="112" spans="1:8">
      <c r="A112" s="74">
        <f>A53</f>
        <v>0</v>
      </c>
      <c r="B112" s="75"/>
      <c r="C112" s="75"/>
      <c r="D112" s="75"/>
      <c r="E112" s="75"/>
      <c r="F112" s="75"/>
      <c r="G112" s="75"/>
      <c r="H112" s="75"/>
    </row>
    <row r="113" spans="1:8">
      <c r="A113" s="74"/>
      <c r="B113" s="75"/>
      <c r="C113" s="75"/>
      <c r="D113" s="75"/>
      <c r="E113" s="75"/>
      <c r="F113" s="75"/>
      <c r="G113" s="75"/>
      <c r="H113" s="75"/>
    </row>
    <row r="114" spans="1:8">
      <c r="A114" s="74"/>
      <c r="B114" s="75"/>
      <c r="C114" s="75"/>
      <c r="D114" s="75"/>
      <c r="E114" s="75"/>
      <c r="F114" s="75"/>
      <c r="G114" s="75"/>
      <c r="H114" s="75"/>
    </row>
    <row r="115" spans="1:8">
      <c r="A115" s="74" t="str">
        <f>A54</f>
        <v>Groundnut</v>
      </c>
      <c r="B115" s="75"/>
      <c r="C115" s="75"/>
      <c r="D115" s="75"/>
      <c r="E115" s="75"/>
      <c r="F115" s="75"/>
      <c r="G115" s="75"/>
      <c r="H115" s="75"/>
    </row>
    <row r="116" spans="1:8">
      <c r="A116" s="74"/>
      <c r="B116" s="75"/>
      <c r="C116" s="75"/>
      <c r="D116" s="75"/>
      <c r="E116" s="75"/>
      <c r="F116" s="75"/>
      <c r="G116" s="75"/>
      <c r="H116" s="75"/>
    </row>
    <row r="117" spans="1:8">
      <c r="A117" s="74"/>
      <c r="B117" s="75"/>
      <c r="C117" s="75"/>
      <c r="D117" s="75"/>
      <c r="E117" s="75"/>
      <c r="F117" s="75"/>
      <c r="G117" s="75"/>
      <c r="H117" s="75"/>
    </row>
    <row r="118" spans="1:8">
      <c r="A118" s="74">
        <f>A55</f>
        <v>0</v>
      </c>
      <c r="B118" s="75"/>
      <c r="C118" s="75"/>
      <c r="D118" s="75"/>
      <c r="E118" s="75"/>
      <c r="F118" s="75"/>
      <c r="G118" s="75"/>
      <c r="H118" s="75"/>
    </row>
    <row r="119" spans="1:8">
      <c r="A119" s="74"/>
      <c r="B119" s="75"/>
      <c r="C119" s="75"/>
      <c r="D119" s="75"/>
      <c r="E119" s="75"/>
      <c r="F119" s="75"/>
      <c r="G119" s="75"/>
      <c r="H119" s="75"/>
    </row>
    <row r="120" spans="1:8">
      <c r="A120" s="74"/>
      <c r="B120" s="75"/>
      <c r="C120" s="75"/>
      <c r="D120" s="75"/>
      <c r="E120" s="75"/>
      <c r="F120" s="75"/>
      <c r="G120" s="75"/>
      <c r="H120" s="75"/>
    </row>
    <row r="121" spans="1:8">
      <c r="A121" s="74">
        <f>A56</f>
        <v>0</v>
      </c>
      <c r="B121" s="75"/>
      <c r="C121" s="75"/>
      <c r="D121" s="75"/>
      <c r="E121" s="75"/>
      <c r="F121" s="75"/>
      <c r="G121" s="75"/>
      <c r="H121" s="75"/>
    </row>
    <row r="122" spans="1:8">
      <c r="A122" s="73"/>
      <c r="B122" s="268"/>
      <c r="C122" s="268"/>
      <c r="D122" s="268"/>
      <c r="E122" s="268"/>
      <c r="F122" s="268"/>
      <c r="G122" s="268"/>
      <c r="H122" s="268"/>
    </row>
    <row r="123" spans="1:8">
      <c r="A123" s="73"/>
      <c r="B123" s="268"/>
      <c r="C123" s="268"/>
      <c r="D123" s="268"/>
      <c r="E123" s="268"/>
      <c r="F123" s="268"/>
      <c r="G123" s="268"/>
      <c r="H123" s="268"/>
    </row>
    <row r="124" spans="1:8">
      <c r="A124" s="73" t="s">
        <v>444</v>
      </c>
      <c r="B124">
        <v>50</v>
      </c>
    </row>
    <row r="131" spans="1:10" ht="18.75">
      <c r="A131" s="368" t="s">
        <v>587</v>
      </c>
      <c r="B131" s="368"/>
      <c r="C131" s="368"/>
      <c r="D131" s="368"/>
      <c r="E131" s="368"/>
      <c r="F131" s="368"/>
      <c r="G131" s="368"/>
      <c r="H131" s="368"/>
      <c r="I131" s="368"/>
      <c r="J131" s="368"/>
    </row>
    <row r="132" spans="1:10">
      <c r="A132" s="12"/>
      <c r="B132" s="12"/>
      <c r="C132" s="12"/>
      <c r="D132" s="12"/>
      <c r="E132" s="12"/>
      <c r="F132" s="12"/>
      <c r="G132" s="12"/>
      <c r="H132" s="12"/>
    </row>
    <row r="133" spans="1:10">
      <c r="A133" s="163"/>
      <c r="B133" s="163"/>
      <c r="C133" s="163"/>
      <c r="D133" s="164">
        <v>0.9</v>
      </c>
      <c r="E133" s="165">
        <v>0.95</v>
      </c>
      <c r="F133" s="165">
        <v>1</v>
      </c>
      <c r="G133" s="165">
        <v>1</v>
      </c>
      <c r="H133" s="165">
        <v>1</v>
      </c>
      <c r="I133" s="165">
        <v>1</v>
      </c>
      <c r="J133" s="165">
        <v>1</v>
      </c>
    </row>
    <row r="134" spans="1:10">
      <c r="A134" s="73"/>
      <c r="B134" s="73"/>
      <c r="C134" s="73"/>
      <c r="D134" s="73"/>
      <c r="E134" s="73"/>
      <c r="F134" s="73"/>
      <c r="G134" s="73"/>
      <c r="H134" s="73"/>
      <c r="I134" s="73"/>
      <c r="J134" s="73"/>
    </row>
    <row r="135" spans="1:10">
      <c r="A135" s="125" t="s">
        <v>0</v>
      </c>
      <c r="B135" s="125" t="s">
        <v>132</v>
      </c>
      <c r="C135" s="125" t="s">
        <v>152</v>
      </c>
      <c r="D135" s="97" t="s">
        <v>2</v>
      </c>
      <c r="E135" s="97" t="s">
        <v>3</v>
      </c>
      <c r="F135" s="97" t="s">
        <v>4</v>
      </c>
      <c r="G135" s="97" t="s">
        <v>5</v>
      </c>
      <c r="H135" s="97" t="s">
        <v>6</v>
      </c>
      <c r="I135" s="97" t="s">
        <v>168</v>
      </c>
      <c r="J135" s="97" t="s">
        <v>167</v>
      </c>
    </row>
    <row r="136" spans="1:10">
      <c r="A136" s="74"/>
      <c r="B136" s="74"/>
      <c r="C136" s="74"/>
      <c r="D136" s="74"/>
      <c r="E136" s="74"/>
      <c r="F136" s="74"/>
      <c r="G136" s="74"/>
      <c r="H136" s="74"/>
      <c r="I136" s="74"/>
      <c r="J136" s="74"/>
    </row>
    <row r="137" spans="1:10">
      <c r="A137" s="76" t="s">
        <v>127</v>
      </c>
      <c r="B137" s="76"/>
      <c r="C137" s="76"/>
      <c r="D137" s="91"/>
      <c r="E137" s="91"/>
      <c r="F137" s="91"/>
      <c r="G137" s="91"/>
      <c r="H137" s="91"/>
      <c r="I137" s="74"/>
      <c r="J137" s="74"/>
    </row>
    <row r="138" spans="1:10">
      <c r="A138" s="76" t="s">
        <v>314</v>
      </c>
      <c r="B138" s="76"/>
      <c r="C138" s="76"/>
      <c r="D138" s="74"/>
      <c r="E138" s="74"/>
      <c r="F138" s="74"/>
      <c r="G138" s="74"/>
      <c r="H138" s="74"/>
      <c r="I138" s="74"/>
      <c r="J138" s="74"/>
    </row>
    <row r="139" spans="1:10">
      <c r="A139" s="74" t="s">
        <v>162</v>
      </c>
      <c r="B139" s="202" t="s">
        <v>361</v>
      </c>
      <c r="C139" s="202">
        <v>4700</v>
      </c>
      <c r="D139" s="75">
        <f>(((B95*100)*(1-'5.Closing Stock &amp; W Capital'!$D$17))/$B$124)*$C$139*D133</f>
        <v>1480367.1780000003</v>
      </c>
      <c r="E139" s="75">
        <f>E133*((((C95*100)*(1-'5.Closing Stock &amp; W Capital'!$D$17))+((B95*100)*'5.Closing Stock &amp; W Capital'!$D$17))/$B$124)*$C$139</f>
        <v>2426157.3195000007</v>
      </c>
      <c r="F139" s="75">
        <f>F133*((((D95*100)*(1-'5.Closing Stock &amp; W Capital'!$D$17))+((C95*100)*'5.Closing Stock &amp; W Capital'!$D$17))/$B$124)*$C$139</f>
        <v>3419561.6100000008</v>
      </c>
      <c r="G139" s="75">
        <f>G133*((((E95*100)*(1-'5.Closing Stock &amp; W Capital'!$D$17))+((D95*100)*'5.Closing Stock &amp; W Capital'!$D$17))/$B$124)*$C$139</f>
        <v>4285273.4100000011</v>
      </c>
      <c r="H139" s="75">
        <f>H133*((((F95*100)*(1-'5.Closing Stock &amp; W Capital'!$D$17))+((E95*100)*'5.Closing Stock &amp; W Capital'!$D$17))/$B$124)*$C$139</f>
        <v>5150985.2100000018</v>
      </c>
      <c r="I139" s="75">
        <f>I133*((((G95*100)*(1-'5.Closing Stock &amp; W Capital'!$D$17))+((F95*100)*'5.Closing Stock &amp; W Capital'!$D$17))/$B$124)*$C$139</f>
        <v>6016697.0100000007</v>
      </c>
      <c r="J139" s="75">
        <f>J133*((((H95*100)*(1-'5.Closing Stock &amp; W Capital'!$D$17))+((G95*100)*'5.Closing Stock &amp; W Capital'!$D$17))/$B$124)*$C$139</f>
        <v>6882408.8100000005</v>
      </c>
    </row>
    <row r="140" spans="1:10">
      <c r="A140" s="74" t="s">
        <v>163</v>
      </c>
      <c r="B140" s="202" t="s">
        <v>361</v>
      </c>
      <c r="C140" s="202">
        <v>5250</v>
      </c>
      <c r="D140" s="75">
        <f>(((B63*100)*(1-'5.Closing Stock &amp; W Capital'!$D$17))/B124)*$C$140*D133</f>
        <v>3103054.9200000004</v>
      </c>
      <c r="E140" s="75">
        <f>((((C63*100)*(1-'5.Closing Stock &amp; W Capital'!$D$17))+((B63*100)*'5.Closing Stock &amp; W Capital'!$D$17))/$B$124)*$C$140*E133</f>
        <v>5085562.2300000004</v>
      </c>
      <c r="F140" s="75">
        <f>((((D63*100)*(1-'5.Closing Stock &amp; W Capital'!$D$17))+((C63*100)*'5.Closing Stock &amp; W Capital'!$D$17))/$B$124)*$C$140*F133</f>
        <v>7167875.4000000013</v>
      </c>
      <c r="G140" s="75">
        <f>((((E63*100)*(1-'5.Closing Stock &amp; W Capital'!$D$17))+((D63*100)*'5.Closing Stock &amp; W Capital'!$D$17))/$B$124)*$C$140*G133</f>
        <v>8982527.4000000004</v>
      </c>
      <c r="H140" s="75">
        <f>((((F63*100)*(1-'5.Closing Stock &amp; W Capital'!$D$17))+((E63*100)*'5.Closing Stock &amp; W Capital'!$D$17))/$B$124)*$C$140*H133</f>
        <v>10797179.400000004</v>
      </c>
      <c r="I140" s="75">
        <f>((((G63*100)*(1-'5.Closing Stock &amp; W Capital'!$D$17))+((F63*100)*'5.Closing Stock &amp; W Capital'!$D$17))/$B$124)*$C$140*I133</f>
        <v>12611831.4</v>
      </c>
      <c r="J140" s="75">
        <f>((((H63*100)*(1-'5.Closing Stock &amp; W Capital'!$D$17))+((G63*100)*'5.Closing Stock &amp; W Capital'!$D$17))/$B$124)*$C$140*J133</f>
        <v>14426483.399999999</v>
      </c>
    </row>
    <row r="141" spans="1:10">
      <c r="A141" s="74" t="s">
        <v>315</v>
      </c>
      <c r="B141" s="202" t="s">
        <v>361</v>
      </c>
      <c r="C141" s="202">
        <v>5250</v>
      </c>
      <c r="D141" s="75">
        <f>(((B78*100)*(1-'5.Closing Stock &amp; W Capital'!$D$17))/$B$124)*$C$141*D133</f>
        <v>857423.07</v>
      </c>
      <c r="E141" s="75">
        <f>((((C78*100)*(1-'5.Closing Stock &amp; W Capital'!$D$17))+((B78*100)*'5.Closing Stock &amp; W Capital'!$D$17))/$B$124)*$C$141*E133</f>
        <v>1405221.1425000001</v>
      </c>
      <c r="F141" s="75">
        <f>((((D78*100)*(1-'5.Closing Stock &amp; W Capital'!$D$17))+((C78*100)*'5.Closing Stock &amp; W Capital'!$D$17))/$B$124)*$C$141*F133</f>
        <v>1980597.1499999997</v>
      </c>
      <c r="G141" s="75">
        <f>((((E78*100)*(1-'5.Closing Stock &amp; W Capital'!$D$17))+((D78*100)*'5.Closing Stock &amp; W Capital'!$D$17))/$B$124)*$C$141*G133</f>
        <v>2482014.1499999994</v>
      </c>
      <c r="H141" s="75">
        <f>((((F78*100)*(1-'5.Closing Stock &amp; W Capital'!$D$17))+((E78*100)*'5.Closing Stock &amp; W Capital'!$D$17))/$B$124)*$C$141*H133</f>
        <v>2983431.1499999994</v>
      </c>
      <c r="I141" s="75">
        <f>((((G78*100)*(1-'5.Closing Stock &amp; W Capital'!$D$17))+((F78*100)*'5.Closing Stock &amp; W Capital'!$D$17))/$B$124)*$C$141*I133</f>
        <v>3484848.1499999994</v>
      </c>
      <c r="J141" s="75">
        <f>((((H78*100)*(1-'5.Closing Stock &amp; W Capital'!$D$17))+((G78*100)*'5.Closing Stock &amp; W Capital'!$D$17))/$B$124)*$C$141*J133</f>
        <v>3986265.1499999985</v>
      </c>
    </row>
    <row r="142" spans="1:10">
      <c r="A142" s="74" t="s">
        <v>313</v>
      </c>
      <c r="B142" s="202" t="s">
        <v>361</v>
      </c>
      <c r="C142" s="202">
        <v>5800</v>
      </c>
      <c r="D142" s="75">
        <f>(((B70*100)*(1-'5.Closing Stock &amp; W Capital'!$D$17))/B124)*$C$142*D133</f>
        <v>1856606.7542399999</v>
      </c>
      <c r="E142" s="75">
        <f>((((C70*100)*(1-'5.Closing Stock &amp; W Capital'!$D$17))+((B70*100)*'5.Closing Stock &amp; W Capital'!$D$17))/$B$124)*$C$142*E133</f>
        <v>3042772.1805600007</v>
      </c>
      <c r="F142" s="75">
        <f>((((D70*100)*(1-'5.Closing Stock &amp; W Capital'!$D$17))+((C70*100)*'5.Closing Stock &amp; W Capital'!$D$17))/$B$124)*$C$142*F133</f>
        <v>4288653.0288000004</v>
      </c>
      <c r="G142" s="75">
        <f>((((E70*100)*(1-'5.Closing Stock &amp; W Capital'!$D$17))+((D70*100)*'5.Closing Stock &amp; W Capital'!$D$17))/$B$124)*$C$142*G133</f>
        <v>5374387.9727999996</v>
      </c>
      <c r="H142" s="75">
        <f>((((F70*100)*(1-'5.Closing Stock &amp; W Capital'!$D$17))+((E70*100)*'5.Closing Stock &amp; W Capital'!$D$17))/$B$124)*$C$142*H133</f>
        <v>6460122.9167999998</v>
      </c>
      <c r="I142" s="75">
        <f>((((G70*100)*(1-'5.Closing Stock &amp; W Capital'!$D$17))+((F70*100)*'5.Closing Stock &amp; W Capital'!$D$17))/$B$124)*$C$142*I133</f>
        <v>7545857.8607999999</v>
      </c>
      <c r="J142" s="75">
        <f>((((H70*100)*(1-'5.Closing Stock &amp; W Capital'!$D$17))+((G70*100)*'5.Closing Stock &amp; W Capital'!$D$17))/$B$124)*$C$142*J133</f>
        <v>8631592.8048</v>
      </c>
    </row>
    <row r="143" spans="1:10">
      <c r="A143" s="74"/>
      <c r="B143" s="74"/>
      <c r="C143" s="74"/>
      <c r="D143" s="75"/>
      <c r="E143" s="75"/>
      <c r="F143" s="75"/>
      <c r="G143" s="75"/>
      <c r="H143" s="75"/>
      <c r="I143" s="75"/>
      <c r="J143" s="75"/>
    </row>
    <row r="144" spans="1:10">
      <c r="A144" s="76" t="s">
        <v>141</v>
      </c>
      <c r="B144" s="207" t="s">
        <v>362</v>
      </c>
      <c r="C144" s="207">
        <v>7</v>
      </c>
      <c r="D144" s="75">
        <f t="shared" ref="D144:J144" si="22">((B63+B95+B78+B70)*100)*$C$144*D133</f>
        <v>511903.77840000013</v>
      </c>
      <c r="E144" s="75">
        <f t="shared" si="22"/>
        <v>810514.3158000001</v>
      </c>
      <c r="F144" s="75">
        <f t="shared" si="22"/>
        <v>1137563.9520000003</v>
      </c>
      <c r="G144" s="75">
        <f t="shared" si="22"/>
        <v>1421954.9400000002</v>
      </c>
      <c r="H144" s="75">
        <f t="shared" si="22"/>
        <v>1706345.9280000001</v>
      </c>
      <c r="I144" s="75">
        <f t="shared" si="22"/>
        <v>1990736.9160000002</v>
      </c>
      <c r="J144" s="75">
        <f t="shared" si="22"/>
        <v>2275127.9040000006</v>
      </c>
    </row>
    <row r="145" spans="1:11">
      <c r="A145" s="74"/>
      <c r="B145" s="202"/>
      <c r="C145" s="202"/>
      <c r="D145" s="75"/>
      <c r="E145" s="75"/>
      <c r="F145" s="75"/>
      <c r="G145" s="75"/>
      <c r="H145" s="75"/>
      <c r="I145" s="75"/>
      <c r="J145" s="75"/>
      <c r="K145" s="50">
        <f>[2]Output!T58*70*K133</f>
        <v>0</v>
      </c>
    </row>
    <row r="146" spans="1:11">
      <c r="A146" s="76" t="s">
        <v>290</v>
      </c>
      <c r="B146" s="207" t="s">
        <v>362</v>
      </c>
      <c r="C146" s="207">
        <v>5</v>
      </c>
      <c r="D146" s="75">
        <f t="shared" ref="D146:J146" si="23">(B35*100)*$C$146*D133</f>
        <v>586683.47250000003</v>
      </c>
      <c r="E146" s="75">
        <f t="shared" si="23"/>
        <v>928915.49812500004</v>
      </c>
      <c r="F146" s="75">
        <f t="shared" si="23"/>
        <v>1303741.05</v>
      </c>
      <c r="G146" s="75">
        <f t="shared" si="23"/>
        <v>1629676.3125</v>
      </c>
      <c r="H146" s="75">
        <f t="shared" si="23"/>
        <v>1955611.575</v>
      </c>
      <c r="I146" s="75">
        <f t="shared" si="23"/>
        <v>2281546.8374999994</v>
      </c>
      <c r="J146" s="75">
        <f t="shared" si="23"/>
        <v>2607482.0999999996</v>
      </c>
    </row>
    <row r="147" spans="1:11">
      <c r="A147" s="74"/>
      <c r="B147" s="74"/>
      <c r="C147" s="74"/>
      <c r="D147" s="75"/>
      <c r="E147" s="75"/>
      <c r="F147" s="75"/>
      <c r="G147" s="75"/>
      <c r="H147" s="75"/>
      <c r="I147" s="75"/>
      <c r="J147" s="75"/>
    </row>
    <row r="148" spans="1:11">
      <c r="A148" s="76" t="s">
        <v>127</v>
      </c>
      <c r="B148" s="76"/>
      <c r="C148" s="76"/>
      <c r="D148" s="92">
        <f>SUM(D139:D147)</f>
        <v>8396039.1731400006</v>
      </c>
      <c r="E148" s="92">
        <f t="shared" ref="E148:J148" si="24">SUM(E139:E147)</f>
        <v>13699142.686485002</v>
      </c>
      <c r="F148" s="92">
        <f t="shared" si="24"/>
        <v>19297992.190800004</v>
      </c>
      <c r="G148" s="92">
        <f t="shared" si="24"/>
        <v>24175834.185300004</v>
      </c>
      <c r="H148" s="92">
        <f t="shared" si="24"/>
        <v>29053676.179800004</v>
      </c>
      <c r="I148" s="92">
        <f t="shared" si="24"/>
        <v>33931518.1743</v>
      </c>
      <c r="J148" s="92">
        <f t="shared" si="24"/>
        <v>38809360.168800004</v>
      </c>
    </row>
    <row r="149" spans="1:11">
      <c r="A149" s="74"/>
      <c r="B149" s="74"/>
      <c r="C149" s="74"/>
      <c r="D149" s="75"/>
      <c r="E149" s="75"/>
      <c r="F149" s="75"/>
      <c r="G149" s="75"/>
      <c r="H149" s="75"/>
      <c r="I149" s="75"/>
      <c r="J149" s="75"/>
    </row>
    <row r="150" spans="1:11">
      <c r="A150" s="76" t="s">
        <v>142</v>
      </c>
      <c r="B150" s="76"/>
      <c r="C150" s="76"/>
      <c r="D150" s="75"/>
      <c r="E150" s="75"/>
      <c r="F150" s="75"/>
      <c r="G150" s="75"/>
      <c r="H150" s="75"/>
      <c r="I150" s="75"/>
      <c r="J150" s="75"/>
    </row>
    <row r="151" spans="1:11">
      <c r="A151" s="76" t="s">
        <v>308</v>
      </c>
      <c r="B151" s="76"/>
      <c r="C151" s="74"/>
      <c r="D151" s="75"/>
      <c r="E151" s="75"/>
      <c r="F151" s="75"/>
      <c r="G151" s="75"/>
      <c r="H151" s="75"/>
      <c r="I151" s="75"/>
      <c r="J151" s="75"/>
    </row>
    <row r="152" spans="1:11">
      <c r="A152" s="74" t="s">
        <v>162</v>
      </c>
      <c r="B152" s="202" t="s">
        <v>363</v>
      </c>
      <c r="C152" s="226">
        <v>6800</v>
      </c>
      <c r="D152" s="75">
        <f t="shared" ref="D152:J152" si="25">(B47)*$C$152*D133</f>
        <v>1409084.1000000003</v>
      </c>
      <c r="E152" s="75">
        <f t="shared" si="25"/>
        <v>2231049.8250000002</v>
      </c>
      <c r="F152" s="75">
        <f t="shared" si="25"/>
        <v>3131298.0000000005</v>
      </c>
      <c r="G152" s="75">
        <f t="shared" si="25"/>
        <v>3914122.5000000005</v>
      </c>
      <c r="H152" s="75">
        <f t="shared" si="25"/>
        <v>4696947.0000000009</v>
      </c>
      <c r="I152" s="75">
        <f t="shared" si="25"/>
        <v>5479771.5</v>
      </c>
      <c r="J152" s="75">
        <f t="shared" si="25"/>
        <v>6262596</v>
      </c>
      <c r="K152" s="350">
        <f>+C152/100</f>
        <v>68</v>
      </c>
    </row>
    <row r="153" spans="1:11">
      <c r="A153" s="74" t="s">
        <v>316</v>
      </c>
      <c r="B153" s="202" t="s">
        <v>363</v>
      </c>
      <c r="C153" s="226">
        <v>7500</v>
      </c>
      <c r="D153" s="75">
        <f t="shared" ref="D153:J153" si="26">(B38)*$C$153*D133</f>
        <v>2916405.0000000005</v>
      </c>
      <c r="E153" s="75">
        <f t="shared" si="26"/>
        <v>4617641.2500000009</v>
      </c>
      <c r="F153" s="75">
        <f t="shared" si="26"/>
        <v>6480900.0000000009</v>
      </c>
      <c r="G153" s="75">
        <f t="shared" si="26"/>
        <v>8101125.0000000009</v>
      </c>
      <c r="H153" s="75">
        <f t="shared" si="26"/>
        <v>9721350</v>
      </c>
      <c r="I153" s="75">
        <f t="shared" si="26"/>
        <v>11341575</v>
      </c>
      <c r="J153" s="75">
        <f t="shared" si="26"/>
        <v>12961800</v>
      </c>
    </row>
    <row r="154" spans="1:11">
      <c r="A154" s="74" t="s">
        <v>317</v>
      </c>
      <c r="B154" s="202" t="s">
        <v>363</v>
      </c>
      <c r="C154" s="226">
        <v>6800</v>
      </c>
      <c r="D154" s="75">
        <f t="shared" ref="D154:J154" si="27">(B42)*$C$154*D133</f>
        <v>730636.2</v>
      </c>
      <c r="E154" s="75">
        <f t="shared" si="27"/>
        <v>1156840.6499999999</v>
      </c>
      <c r="F154" s="75">
        <f t="shared" si="27"/>
        <v>1623635.9999999998</v>
      </c>
      <c r="G154" s="75">
        <f t="shared" si="27"/>
        <v>2029544.9999999998</v>
      </c>
      <c r="H154" s="75">
        <f t="shared" si="27"/>
        <v>2435454</v>
      </c>
      <c r="I154" s="75">
        <f t="shared" si="27"/>
        <v>2841363</v>
      </c>
      <c r="J154" s="75">
        <f t="shared" si="27"/>
        <v>3247271.9999999995</v>
      </c>
    </row>
    <row r="155" spans="1:11">
      <c r="A155" s="74" t="s">
        <v>313</v>
      </c>
      <c r="B155" s="202" t="s">
        <v>363</v>
      </c>
      <c r="C155" s="226">
        <v>8000</v>
      </c>
      <c r="D155" s="75">
        <f t="shared" ref="D155:J155" si="28">(B40)*$C$155*D133</f>
        <v>1684761.1199999999</v>
      </c>
      <c r="E155" s="75">
        <f t="shared" si="28"/>
        <v>2667538.44</v>
      </c>
      <c r="F155" s="75">
        <f t="shared" si="28"/>
        <v>3743913.5999999996</v>
      </c>
      <c r="G155" s="75">
        <f t="shared" si="28"/>
        <v>4679892</v>
      </c>
      <c r="H155" s="75">
        <f t="shared" si="28"/>
        <v>5615870.3999999994</v>
      </c>
      <c r="I155" s="75">
        <f t="shared" si="28"/>
        <v>6551848.7999999998</v>
      </c>
      <c r="J155" s="75">
        <f t="shared" si="28"/>
        <v>7487827.1999999993</v>
      </c>
    </row>
    <row r="156" spans="1:11">
      <c r="A156" s="74" t="s">
        <v>364</v>
      </c>
      <c r="B156" s="202">
        <v>2</v>
      </c>
      <c r="C156" s="202">
        <v>100</v>
      </c>
      <c r="D156" s="75">
        <f t="shared" ref="D156:J156" si="29">(B32/10)*$B$156*$C$156*D133</f>
        <v>46934.677800000005</v>
      </c>
      <c r="E156" s="75">
        <f t="shared" si="29"/>
        <v>74313.239850000013</v>
      </c>
      <c r="F156" s="75">
        <f t="shared" si="29"/>
        <v>104299.28400000001</v>
      </c>
      <c r="G156" s="75">
        <f t="shared" si="29"/>
        <v>130374.10500000001</v>
      </c>
      <c r="H156" s="75">
        <f t="shared" si="29"/>
        <v>156448.92599999998</v>
      </c>
      <c r="I156" s="75">
        <f t="shared" si="29"/>
        <v>182523.74699999994</v>
      </c>
      <c r="J156" s="75">
        <f t="shared" si="29"/>
        <v>208598.56799999997</v>
      </c>
    </row>
    <row r="157" spans="1:11">
      <c r="A157" s="9"/>
      <c r="B157" s="9"/>
      <c r="C157" s="9"/>
      <c r="D157" s="9"/>
      <c r="E157" s="9"/>
      <c r="F157" s="9"/>
      <c r="G157" s="9"/>
      <c r="H157" s="9"/>
      <c r="I157" s="9"/>
      <c r="J157" s="9"/>
    </row>
    <row r="158" spans="1:11">
      <c r="A158" s="9"/>
      <c r="B158" s="9"/>
      <c r="C158" s="9"/>
      <c r="D158" s="9"/>
      <c r="E158" s="9"/>
      <c r="F158" s="9"/>
      <c r="G158" s="9"/>
      <c r="H158" s="9"/>
      <c r="I158" s="9"/>
      <c r="J158" s="9"/>
    </row>
    <row r="159" spans="1:11">
      <c r="A159" s="9"/>
      <c r="B159" s="9"/>
      <c r="C159" s="9"/>
      <c r="D159" s="9"/>
      <c r="E159" s="9"/>
      <c r="F159" s="9"/>
      <c r="G159" s="9"/>
      <c r="H159" s="9"/>
      <c r="I159" s="9"/>
      <c r="J159" s="9"/>
    </row>
    <row r="160" spans="1:11">
      <c r="A160" s="9"/>
      <c r="B160" s="9"/>
      <c r="C160" s="9"/>
      <c r="D160" s="9"/>
      <c r="E160" s="9"/>
      <c r="F160" s="9"/>
      <c r="G160" s="9"/>
      <c r="H160" s="9"/>
      <c r="I160" s="9"/>
      <c r="J160" s="9"/>
    </row>
    <row r="161" spans="1:10">
      <c r="A161" s="166" t="s">
        <v>343</v>
      </c>
      <c r="B161" s="75"/>
      <c r="C161" s="75"/>
      <c r="D161" s="75"/>
      <c r="E161" s="75">
        <f>'5.Closing Stock &amp; W Capital'!F8</f>
        <v>339391.05489000003</v>
      </c>
      <c r="F161" s="75">
        <f>'5.Closing Stock &amp; W Capital'!G8</f>
        <v>537369.17024250003</v>
      </c>
      <c r="G161" s="75">
        <f>'5.Closing Stock &amp; W Capital'!H8</f>
        <v>754202.34420000017</v>
      </c>
      <c r="H161" s="75">
        <f>'5.Closing Stock &amp; W Capital'!I8</f>
        <v>942752.93025000009</v>
      </c>
      <c r="I161" s="75">
        <f>'5.Closing Stock &amp; W Capital'!J8</f>
        <v>1131303.5163</v>
      </c>
      <c r="J161" s="75">
        <f>'5.Closing Stock &amp; W Capital'!K8</f>
        <v>1319854.1023500003</v>
      </c>
    </row>
    <row r="162" spans="1:10">
      <c r="A162" s="166" t="s">
        <v>344</v>
      </c>
      <c r="B162" s="75"/>
      <c r="C162" s="75"/>
      <c r="D162" s="75">
        <f>'5.Closing Stock &amp; W Capital'!E17</f>
        <v>339391.05489000003</v>
      </c>
      <c r="E162" s="75">
        <f>'5.Closing Stock &amp; W Capital'!F17</f>
        <v>537369.17024250003</v>
      </c>
      <c r="F162" s="75">
        <f>'5.Closing Stock &amp; W Capital'!G17</f>
        <v>754202.34420000017</v>
      </c>
      <c r="G162" s="75">
        <f>'5.Closing Stock &amp; W Capital'!H17</f>
        <v>942752.93025000009</v>
      </c>
      <c r="H162" s="75">
        <f>'5.Closing Stock &amp; W Capital'!I17</f>
        <v>1131303.5163</v>
      </c>
      <c r="I162" s="75">
        <f>'5.Closing Stock &amp; W Capital'!J17</f>
        <v>1319854.1023500003</v>
      </c>
      <c r="J162" s="75">
        <f>'5.Closing Stock &amp; W Capital'!K17</f>
        <v>1508404.6884000001</v>
      </c>
    </row>
    <row r="163" spans="1:10">
      <c r="A163" s="75"/>
      <c r="B163" s="75"/>
      <c r="C163" s="75"/>
      <c r="D163" s="75"/>
      <c r="E163" s="75"/>
      <c r="F163" s="75"/>
      <c r="G163" s="75"/>
      <c r="H163" s="75"/>
      <c r="I163" s="75"/>
      <c r="J163" s="75"/>
    </row>
    <row r="164" spans="1:10">
      <c r="A164" s="92" t="s">
        <v>319</v>
      </c>
      <c r="B164" s="75"/>
      <c r="C164" s="75"/>
      <c r="D164" s="92">
        <f t="shared" ref="D164:J164" si="30">SUM(D152:D161)-D162</f>
        <v>6448430.0429100003</v>
      </c>
      <c r="E164" s="92">
        <f t="shared" si="30"/>
        <v>10549405.2894975</v>
      </c>
      <c r="F164" s="92">
        <f t="shared" si="30"/>
        <v>14867213.710042501</v>
      </c>
      <c r="G164" s="92">
        <f t="shared" si="30"/>
        <v>18666508.01895</v>
      </c>
      <c r="H164" s="92">
        <f t="shared" si="30"/>
        <v>22437519.739949998</v>
      </c>
      <c r="I164" s="92">
        <f t="shared" si="30"/>
        <v>26208531.460950002</v>
      </c>
      <c r="J164" s="92">
        <f t="shared" si="30"/>
        <v>29979543.181949999</v>
      </c>
    </row>
    <row r="165" spans="1:10">
      <c r="A165" s="73"/>
      <c r="B165" s="73"/>
      <c r="C165" s="73"/>
      <c r="D165" s="73"/>
      <c r="E165" s="73"/>
      <c r="F165" s="73"/>
      <c r="G165" s="73"/>
      <c r="H165" s="73"/>
      <c r="I165" s="73"/>
      <c r="J165" s="73"/>
    </row>
    <row r="166" spans="1:10">
      <c r="A166" s="167" t="s">
        <v>306</v>
      </c>
      <c r="B166" s="167"/>
      <c r="C166" s="167"/>
      <c r="D166" s="92"/>
      <c r="E166" s="92"/>
      <c r="F166" s="92"/>
      <c r="G166" s="92"/>
      <c r="H166" s="92"/>
      <c r="I166" s="92"/>
      <c r="J166" s="92"/>
    </row>
    <row r="167" spans="1:10">
      <c r="A167" s="74" t="s">
        <v>185</v>
      </c>
      <c r="B167" s="202">
        <v>1</v>
      </c>
      <c r="C167" s="226">
        <v>8000</v>
      </c>
      <c r="D167" s="75">
        <f>$B$167*$C$167*12</f>
        <v>96000</v>
      </c>
      <c r="E167" s="75">
        <f>$B$167*$C$167*12</f>
        <v>96000</v>
      </c>
      <c r="F167" s="75">
        <f>$B$167*$C$167*12*F133</f>
        <v>96000</v>
      </c>
      <c r="G167" s="75">
        <f>$B$167*$C$167*12*G133</f>
        <v>96000</v>
      </c>
      <c r="H167" s="75">
        <f>$B$167*$C$167*12*H133</f>
        <v>96000</v>
      </c>
      <c r="I167" s="75">
        <f>$B$167*$C$167*12*I133</f>
        <v>96000</v>
      </c>
      <c r="J167" s="75">
        <f>$B$167*$C$167*12*J133</f>
        <v>96000</v>
      </c>
    </row>
    <row r="168" spans="1:10">
      <c r="A168" s="74" t="s">
        <v>318</v>
      </c>
      <c r="B168" s="202">
        <v>3</v>
      </c>
      <c r="C168" s="202">
        <v>300</v>
      </c>
      <c r="D168" s="75">
        <f>B12*$B$168*$C$168</f>
        <v>36667.717031250002</v>
      </c>
      <c r="E168" s="75">
        <f>C12*$B$168*$C$168</f>
        <v>55001.575546875007</v>
      </c>
      <c r="F168" s="75">
        <f>D12*$B$168*$C$168*F133</f>
        <v>73335.434062500004</v>
      </c>
      <c r="G168" s="75">
        <f>E12*$B$168*$C$168*G133</f>
        <v>91669.292578125009</v>
      </c>
      <c r="H168" s="75">
        <f>F12*$B$168*$C$168*H133</f>
        <v>110003.15109375</v>
      </c>
      <c r="I168" s="75">
        <f>G12*$B$168*$C$168*I133</f>
        <v>128337.00960937497</v>
      </c>
      <c r="J168" s="75">
        <f>H12*$B$168*$C$168*J133</f>
        <v>146670.86812499998</v>
      </c>
    </row>
    <row r="169" spans="1:10">
      <c r="A169" s="74" t="s">
        <v>144</v>
      </c>
      <c r="B169" s="74">
        <f>'2.Capex Details'!H47*0.746*8</f>
        <v>119.36</v>
      </c>
      <c r="C169" s="202">
        <v>8</v>
      </c>
      <c r="D169" s="75">
        <f>$B$169*$C$169*B12</f>
        <v>38903.632932</v>
      </c>
      <c r="E169" s="75">
        <f>$B$169*$C$169*C12</f>
        <v>58355.449398000012</v>
      </c>
      <c r="F169" s="75">
        <f>$B$169*$C$169*D12*F133</f>
        <v>77807.265864000001</v>
      </c>
      <c r="G169" s="75">
        <f>$B$169*$C$169*E12*G133</f>
        <v>97259.082330000005</v>
      </c>
      <c r="H169" s="75">
        <f>$B$169*$C$169*F12*H133</f>
        <v>116710.89879599999</v>
      </c>
      <c r="I169" s="75">
        <f>$B$169*$C$169*G12*I133</f>
        <v>136162.71526199998</v>
      </c>
      <c r="J169" s="75">
        <f>$B$169*$C$169*H12*J133</f>
        <v>155614.53172799997</v>
      </c>
    </row>
    <row r="170" spans="1:10">
      <c r="A170" s="74" t="s">
        <v>291</v>
      </c>
      <c r="B170" s="74"/>
      <c r="C170" s="202">
        <v>10</v>
      </c>
      <c r="D170" s="75">
        <f>((B35*100)/50)*$C$170</f>
        <v>26074.821000000004</v>
      </c>
      <c r="E170" s="75">
        <f>((C35*100)/50)*$C$170</f>
        <v>39112.231500000009</v>
      </c>
      <c r="F170" s="75">
        <f>((D35*100)/50)*$C$170*F133</f>
        <v>52149.642000000007</v>
      </c>
      <c r="G170" s="75">
        <f>((E35*100)/50)*$C$170*G133</f>
        <v>65187.052499999998</v>
      </c>
      <c r="H170" s="75">
        <f>((F35*100)/50)*$C$170*H133</f>
        <v>78224.462999999989</v>
      </c>
      <c r="I170" s="75">
        <f>((G35*100)/50)*$C$170*I133</f>
        <v>91261.873499999987</v>
      </c>
      <c r="J170" s="75">
        <f>((H35*100)/50)*$C$170*J133</f>
        <v>104299.28399999999</v>
      </c>
    </row>
    <row r="171" spans="1:10">
      <c r="A171" s="86" t="s">
        <v>292</v>
      </c>
      <c r="B171" s="86"/>
      <c r="C171" s="228">
        <v>20</v>
      </c>
      <c r="D171" s="75">
        <f>(((B78+B69+B95+B63)*100)/50)*$C$171</f>
        <v>25014.000000000007</v>
      </c>
      <c r="E171" s="75">
        <f>(((C78+C69+C95+C63)*100)/50)*$C$171</f>
        <v>37521</v>
      </c>
      <c r="F171" s="75">
        <f>(((D78+D69+D95+D63)*100)/50)*$C$171*F133</f>
        <v>50028.000000000015</v>
      </c>
      <c r="G171" s="75">
        <f>(((E78+E69+E95+E63)*100)/50)*$C$171*G133</f>
        <v>62535.000000000007</v>
      </c>
      <c r="H171" s="75">
        <f>(((F78+F69+F95+F63)*100)/50)*$C$171*H133</f>
        <v>75042</v>
      </c>
      <c r="I171" s="75">
        <f>(((G78+G69+G95+G63)*100)/50)*$C$171*I133</f>
        <v>87549.000000000015</v>
      </c>
      <c r="J171" s="75">
        <f>(((H78+H69+H95+H63)*100)/50)*$C$171*J133</f>
        <v>100056</v>
      </c>
    </row>
    <row r="172" spans="1:10">
      <c r="A172" s="74" t="s">
        <v>293</v>
      </c>
      <c r="B172" s="74"/>
      <c r="C172" s="202">
        <v>100</v>
      </c>
      <c r="D172" s="75">
        <f>(((B78+B69+B95+B63)*100)/50)*$C$172</f>
        <v>125070.00000000003</v>
      </c>
      <c r="E172" s="75">
        <f>(((C78+C69+C95+C63)*100)/50)*$C$172</f>
        <v>187605.00000000003</v>
      </c>
      <c r="F172" s="75">
        <f>(((D78+D69+D95+D63)*100)/50)*$C$172*F133</f>
        <v>250140.00000000006</v>
      </c>
      <c r="G172" s="75">
        <f>(((E78+E69+E95+E63)*100)/50)*$C$172*G133</f>
        <v>312675.00000000006</v>
      </c>
      <c r="H172" s="75">
        <f>(((F78+F69+F95+F63)*100)/50)*$C$172*H133</f>
        <v>375210.00000000006</v>
      </c>
      <c r="I172" s="75">
        <f>(((G78+G69+G95+G63)*100)/50)*$C$172*I133</f>
        <v>437745.00000000006</v>
      </c>
      <c r="J172" s="75">
        <f>(((H78+H69+H95+H63)*100)/50)*$C$172*J133</f>
        <v>500280</v>
      </c>
    </row>
    <row r="173" spans="1:10">
      <c r="A173" s="74"/>
      <c r="B173" s="202"/>
      <c r="C173" s="226"/>
      <c r="D173" s="75"/>
      <c r="E173" s="75"/>
      <c r="F173" s="75"/>
      <c r="G173" s="75"/>
      <c r="H173" s="75"/>
      <c r="I173" s="75"/>
      <c r="J173" s="75"/>
    </row>
    <row r="174" spans="1:10">
      <c r="A174" s="74"/>
      <c r="B174" s="202"/>
      <c r="C174" s="226"/>
      <c r="D174" s="75"/>
      <c r="E174" s="75"/>
      <c r="F174" s="75"/>
      <c r="G174" s="75"/>
      <c r="H174" s="75"/>
      <c r="I174" s="75"/>
      <c r="J174" s="75"/>
    </row>
    <row r="175" spans="1:10">
      <c r="A175" s="74"/>
      <c r="B175" s="202"/>
      <c r="C175" s="226"/>
      <c r="D175" s="75"/>
      <c r="E175" s="75"/>
      <c r="F175" s="75"/>
      <c r="G175" s="75"/>
      <c r="H175" s="75"/>
      <c r="I175" s="75"/>
      <c r="J175" s="75"/>
    </row>
    <row r="176" spans="1:10">
      <c r="A176" s="76" t="s">
        <v>306</v>
      </c>
      <c r="B176" s="76"/>
      <c r="C176" s="76"/>
      <c r="D176" s="92">
        <f>SUM(D167:D175)</f>
        <v>347730.17096325004</v>
      </c>
      <c r="E176" s="92">
        <f t="shared" ref="E176:J176" si="31">SUM(E167:E175)</f>
        <v>473595.25644487503</v>
      </c>
      <c r="F176" s="92">
        <f t="shared" si="31"/>
        <v>599460.34192650008</v>
      </c>
      <c r="G176" s="92">
        <f t="shared" si="31"/>
        <v>725325.42740812502</v>
      </c>
      <c r="H176" s="92">
        <f t="shared" si="31"/>
        <v>851190.51288975007</v>
      </c>
      <c r="I176" s="92">
        <f t="shared" si="31"/>
        <v>977055.59837137512</v>
      </c>
      <c r="J176" s="92">
        <f t="shared" si="31"/>
        <v>1102920.6838529999</v>
      </c>
    </row>
    <row r="177" spans="1:10">
      <c r="A177" s="167" t="s">
        <v>294</v>
      </c>
      <c r="B177" s="167"/>
      <c r="C177" s="167"/>
      <c r="D177" s="92">
        <f t="shared" ref="D177:J177" si="32">D164+D176</f>
        <v>6796160.2138732504</v>
      </c>
      <c r="E177" s="92">
        <f t="shared" si="32"/>
        <v>11023000.545942375</v>
      </c>
      <c r="F177" s="92">
        <f t="shared" si="32"/>
        <v>15466674.051969001</v>
      </c>
      <c r="G177" s="92">
        <f t="shared" si="32"/>
        <v>19391833.446358126</v>
      </c>
      <c r="H177" s="92">
        <f t="shared" si="32"/>
        <v>23288710.252839748</v>
      </c>
      <c r="I177" s="92">
        <f t="shared" si="32"/>
        <v>27185587.059321377</v>
      </c>
      <c r="J177" s="92">
        <f t="shared" si="32"/>
        <v>31082463.865803</v>
      </c>
    </row>
    <row r="178" spans="1:10">
      <c r="A178" s="74"/>
      <c r="B178" s="74"/>
      <c r="C178" s="74"/>
      <c r="D178" s="75"/>
      <c r="E178" s="75"/>
      <c r="F178" s="75"/>
      <c r="G178" s="75"/>
      <c r="H178" s="75"/>
      <c r="I178" s="75"/>
      <c r="J178" s="75"/>
    </row>
    <row r="179" spans="1:10">
      <c r="A179" s="76" t="s">
        <v>7</v>
      </c>
      <c r="B179" s="76"/>
      <c r="C179" s="76"/>
      <c r="D179" s="92">
        <f t="shared" ref="D179:J179" si="33">D148-D177</f>
        <v>1599878.9592667501</v>
      </c>
      <c r="E179" s="92">
        <f t="shared" si="33"/>
        <v>2676142.1405426264</v>
      </c>
      <c r="F179" s="92">
        <f t="shared" si="33"/>
        <v>3831318.1388310026</v>
      </c>
      <c r="G179" s="92">
        <f t="shared" si="33"/>
        <v>4784000.7389418781</v>
      </c>
      <c r="H179" s="92">
        <f t="shared" si="33"/>
        <v>5764965.926960256</v>
      </c>
      <c r="I179" s="92">
        <f t="shared" si="33"/>
        <v>6745931.1149786226</v>
      </c>
      <c r="J179" s="92">
        <f t="shared" si="33"/>
        <v>7726896.3029970042</v>
      </c>
    </row>
    <row r="180" spans="1:10">
      <c r="A180" s="93"/>
      <c r="B180" s="93"/>
      <c r="C180" s="93"/>
      <c r="D180" s="73"/>
      <c r="E180" s="73"/>
      <c r="F180" s="73"/>
      <c r="G180" s="73"/>
      <c r="H180" s="73"/>
      <c r="I180" s="73"/>
      <c r="J180" s="73"/>
    </row>
    <row r="181" spans="1:10">
      <c r="A181" s="73"/>
      <c r="B181" s="73"/>
      <c r="C181" s="73"/>
      <c r="D181" s="73"/>
      <c r="E181" s="73"/>
      <c r="F181" s="73"/>
      <c r="G181" s="73"/>
      <c r="H181" s="73"/>
      <c r="I181" s="73"/>
      <c r="J181" s="73"/>
    </row>
    <row r="182" spans="1:10">
      <c r="A182" s="73"/>
      <c r="B182" s="73"/>
      <c r="C182" s="73"/>
      <c r="D182" s="73"/>
      <c r="E182" s="73"/>
      <c r="F182" s="73"/>
      <c r="G182" s="73"/>
      <c r="H182" s="73"/>
      <c r="I182" s="73"/>
      <c r="J182" s="73"/>
    </row>
    <row r="183" spans="1:10">
      <c r="A183" s="370" t="s">
        <v>421</v>
      </c>
      <c r="B183" s="370"/>
      <c r="C183" s="370"/>
      <c r="D183" s="370"/>
      <c r="E183" s="370"/>
      <c r="F183" s="370"/>
      <c r="G183" s="370"/>
      <c r="H183" s="370"/>
      <c r="I183" s="370"/>
      <c r="J183" s="370"/>
    </row>
    <row r="185" spans="1:10">
      <c r="A185" t="s">
        <v>537</v>
      </c>
    </row>
    <row r="186" spans="1:10">
      <c r="A186">
        <v>1</v>
      </c>
      <c r="B186" t="s">
        <v>550</v>
      </c>
    </row>
    <row r="187" spans="1:10">
      <c r="A187">
        <v>2</v>
      </c>
      <c r="B187" t="s">
        <v>551</v>
      </c>
    </row>
    <row r="188" spans="1:10">
      <c r="A188">
        <v>3</v>
      </c>
      <c r="B188" s="73" t="s">
        <v>601</v>
      </c>
    </row>
    <row r="191" spans="1:10">
      <c r="A191" t="s">
        <v>697</v>
      </c>
      <c r="B191" t="s">
        <v>698</v>
      </c>
    </row>
    <row r="192" spans="1:10">
      <c r="B192" t="s">
        <v>712</v>
      </c>
    </row>
  </sheetData>
  <mergeCells count="4">
    <mergeCell ref="A131:J131"/>
    <mergeCell ref="A3:H3"/>
    <mergeCell ref="A183:J183"/>
    <mergeCell ref="A4:H4"/>
  </mergeCells>
  <pageMargins left="0.7" right="0.7" top="0.75" bottom="0.75" header="0.3" footer="0.3"/>
  <pageSetup paperSize="9" scale="47" orientation="portrait"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dimension ref="A2:J55"/>
  <sheetViews>
    <sheetView view="pageBreakPreview" topLeftCell="A22" zoomScale="80" zoomScaleSheetLayoutView="80" workbookViewId="0">
      <selection activeCell="C37" sqref="C37"/>
    </sheetView>
  </sheetViews>
  <sheetFormatPr defaultRowHeight="15"/>
  <cols>
    <col min="1" max="1" width="30.42578125" bestFit="1" customWidth="1"/>
    <col min="2" max="2" width="9.85546875" customWidth="1"/>
    <col min="3" max="3" width="11.140625" customWidth="1"/>
    <col min="4" max="7" width="11.28515625" bestFit="1" customWidth="1"/>
    <col min="8" max="10" width="11.5703125" bestFit="1" customWidth="1"/>
  </cols>
  <sheetData>
    <row r="2" spans="1:10" ht="18.75">
      <c r="A2" s="368" t="s">
        <v>588</v>
      </c>
      <c r="B2" s="368"/>
      <c r="C2" s="368"/>
      <c r="D2" s="368"/>
      <c r="E2" s="368"/>
      <c r="F2" s="368"/>
      <c r="G2" s="368"/>
      <c r="H2" s="368"/>
    </row>
    <row r="3" spans="1:10" ht="18.75">
      <c r="A3" s="368" t="s">
        <v>589</v>
      </c>
      <c r="B3" s="368"/>
      <c r="C3" s="368"/>
      <c r="D3" s="368"/>
      <c r="E3" s="368"/>
      <c r="F3" s="368"/>
      <c r="G3" s="368"/>
      <c r="H3" s="368"/>
    </row>
    <row r="4" spans="1:10">
      <c r="A4" s="73" t="s">
        <v>160</v>
      </c>
      <c r="B4" s="231">
        <v>1000</v>
      </c>
      <c r="C4" s="158" t="s">
        <v>295</v>
      </c>
      <c r="D4" s="158"/>
      <c r="E4" s="158"/>
      <c r="F4" s="158"/>
      <c r="G4" s="73"/>
      <c r="H4" s="73"/>
    </row>
    <row r="5" spans="1:10">
      <c r="A5" s="73"/>
      <c r="B5" s="159"/>
      <c r="C5" s="73"/>
      <c r="D5" s="73"/>
      <c r="E5" s="73"/>
      <c r="F5" s="73"/>
      <c r="G5" s="73"/>
      <c r="H5" s="73"/>
    </row>
    <row r="6" spans="1:10">
      <c r="A6" s="73" t="s">
        <v>297</v>
      </c>
      <c r="B6" s="160">
        <v>12</v>
      </c>
      <c r="C6" s="73"/>
      <c r="D6" s="160"/>
      <c r="E6" s="160"/>
      <c r="F6" s="73"/>
      <c r="G6" s="73"/>
      <c r="H6" s="73"/>
    </row>
    <row r="7" spans="1:10">
      <c r="A7" s="73"/>
      <c r="B7" s="73"/>
      <c r="C7" s="160"/>
      <c r="D7" s="160"/>
      <c r="E7" s="160"/>
      <c r="F7" s="73"/>
      <c r="G7" s="73"/>
      <c r="H7" s="73"/>
    </row>
    <row r="8" spans="1:10">
      <c r="A8" s="125" t="s">
        <v>128</v>
      </c>
      <c r="B8" s="97" t="s">
        <v>2</v>
      </c>
      <c r="C8" s="97" t="s">
        <v>3</v>
      </c>
      <c r="D8" s="97" t="s">
        <v>4</v>
      </c>
      <c r="E8" s="97" t="s">
        <v>5</v>
      </c>
      <c r="F8" s="97" t="s">
        <v>6</v>
      </c>
      <c r="G8" s="97" t="s">
        <v>168</v>
      </c>
      <c r="H8" s="97" t="s">
        <v>167</v>
      </c>
    </row>
    <row r="9" spans="1:10">
      <c r="A9" s="74" t="s">
        <v>298</v>
      </c>
      <c r="B9" s="249">
        <v>0.8</v>
      </c>
      <c r="C9" s="249">
        <f>B9+5%</f>
        <v>0.85000000000000009</v>
      </c>
      <c r="D9" s="249">
        <f>C9+5%</f>
        <v>0.90000000000000013</v>
      </c>
      <c r="E9" s="249">
        <f>D9+5%</f>
        <v>0.95000000000000018</v>
      </c>
      <c r="F9" s="249">
        <f>E9+5%</f>
        <v>1.0000000000000002</v>
      </c>
      <c r="G9" s="249">
        <f>F9</f>
        <v>1.0000000000000002</v>
      </c>
      <c r="H9" s="249">
        <f>G9</f>
        <v>1.0000000000000002</v>
      </c>
    </row>
    <row r="10" spans="1:10">
      <c r="A10" s="76" t="s">
        <v>320</v>
      </c>
      <c r="B10" s="162">
        <f t="shared" ref="B10:H10" si="0">$B$4*B9*$B$6</f>
        <v>9600</v>
      </c>
      <c r="C10" s="162">
        <f t="shared" si="0"/>
        <v>10200.000000000002</v>
      </c>
      <c r="D10" s="162">
        <f t="shared" si="0"/>
        <v>10800.000000000002</v>
      </c>
      <c r="E10" s="162">
        <f t="shared" si="0"/>
        <v>11400.000000000004</v>
      </c>
      <c r="F10" s="162">
        <f t="shared" si="0"/>
        <v>12000.000000000004</v>
      </c>
      <c r="G10" s="162">
        <f t="shared" si="0"/>
        <v>12000.000000000004</v>
      </c>
      <c r="H10" s="162">
        <f t="shared" si="0"/>
        <v>12000.000000000004</v>
      </c>
    </row>
    <row r="15" spans="1:10" ht="18.75">
      <c r="A15" s="368" t="s">
        <v>590</v>
      </c>
      <c r="B15" s="368"/>
      <c r="C15" s="368"/>
      <c r="D15" s="368"/>
      <c r="E15" s="368"/>
      <c r="F15" s="368"/>
      <c r="G15" s="368"/>
      <c r="H15" s="368"/>
      <c r="I15" s="368"/>
      <c r="J15" s="368"/>
    </row>
    <row r="16" spans="1:10">
      <c r="A16" s="12"/>
      <c r="B16" s="12"/>
      <c r="C16" s="12"/>
      <c r="D16" s="12"/>
      <c r="E16" s="12"/>
      <c r="F16" s="12"/>
      <c r="G16" s="12"/>
      <c r="H16" s="12"/>
    </row>
    <row r="17" spans="1:10">
      <c r="A17" s="73"/>
      <c r="B17" s="73"/>
      <c r="C17" s="73"/>
      <c r="D17" s="155">
        <v>0.9</v>
      </c>
      <c r="E17" s="153">
        <v>0.95</v>
      </c>
      <c r="F17" s="153">
        <v>1</v>
      </c>
      <c r="G17" s="153">
        <v>1</v>
      </c>
      <c r="H17" s="153">
        <v>1</v>
      </c>
      <c r="I17" s="153">
        <v>1</v>
      </c>
      <c r="J17" s="153">
        <v>1</v>
      </c>
    </row>
    <row r="18" spans="1:10">
      <c r="A18" s="125" t="s">
        <v>0</v>
      </c>
      <c r="B18" s="125" t="s">
        <v>132</v>
      </c>
      <c r="C18" s="125" t="s">
        <v>152</v>
      </c>
      <c r="D18" s="97" t="s">
        <v>2</v>
      </c>
      <c r="E18" s="97" t="s">
        <v>3</v>
      </c>
      <c r="F18" s="97" t="s">
        <v>4</v>
      </c>
      <c r="G18" s="97" t="s">
        <v>5</v>
      </c>
      <c r="H18" s="97" t="s">
        <v>6</v>
      </c>
      <c r="I18" s="97" t="s">
        <v>168</v>
      </c>
      <c r="J18" s="97" t="s">
        <v>167</v>
      </c>
    </row>
    <row r="19" spans="1:10">
      <c r="A19" s="74"/>
      <c r="B19" s="74"/>
      <c r="C19" s="74"/>
      <c r="D19" s="74"/>
      <c r="E19" s="74"/>
      <c r="F19" s="74"/>
      <c r="G19" s="74"/>
      <c r="H19" s="74"/>
      <c r="I19" s="74"/>
      <c r="J19" s="74"/>
    </row>
    <row r="20" spans="1:10">
      <c r="A20" s="76" t="s">
        <v>176</v>
      </c>
      <c r="B20" s="76"/>
      <c r="C20" s="76"/>
      <c r="D20" s="74"/>
      <c r="E20" s="74"/>
      <c r="F20" s="74"/>
      <c r="G20" s="74"/>
      <c r="H20" s="74"/>
      <c r="I20" s="74"/>
      <c r="J20" s="74"/>
    </row>
    <row r="21" spans="1:10">
      <c r="A21" s="74" t="s">
        <v>322</v>
      </c>
      <c r="B21" s="74"/>
      <c r="C21" s="226">
        <v>100</v>
      </c>
      <c r="D21" s="75">
        <f t="shared" ref="D21:J21" si="1">B10*$C$21*D17</f>
        <v>864000</v>
      </c>
      <c r="E21" s="75">
        <f t="shared" si="1"/>
        <v>969000.00000000023</v>
      </c>
      <c r="F21" s="75">
        <f t="shared" si="1"/>
        <v>1080000.0000000002</v>
      </c>
      <c r="G21" s="75">
        <f t="shared" si="1"/>
        <v>1140000.0000000005</v>
      </c>
      <c r="H21" s="75">
        <f t="shared" si="1"/>
        <v>1200000.0000000005</v>
      </c>
      <c r="I21" s="75">
        <f t="shared" si="1"/>
        <v>1200000.0000000005</v>
      </c>
      <c r="J21" s="75">
        <f t="shared" si="1"/>
        <v>1200000.0000000005</v>
      </c>
    </row>
    <row r="22" spans="1:10">
      <c r="A22" s="74"/>
      <c r="B22" s="74"/>
      <c r="C22" s="75"/>
      <c r="D22" s="75"/>
      <c r="E22" s="75"/>
      <c r="F22" s="75"/>
      <c r="G22" s="75"/>
      <c r="H22" s="75"/>
      <c r="I22" s="75"/>
      <c r="J22" s="75"/>
    </row>
    <row r="23" spans="1:10">
      <c r="A23" s="76" t="s">
        <v>143</v>
      </c>
      <c r="B23" s="76"/>
      <c r="C23" s="92"/>
      <c r="D23" s="75">
        <f>SUM(D21:D22)</f>
        <v>864000</v>
      </c>
      <c r="E23" s="75">
        <f t="shared" ref="E23:J23" si="2">SUM(E21:E22)</f>
        <v>969000.00000000023</v>
      </c>
      <c r="F23" s="75">
        <f t="shared" si="2"/>
        <v>1080000.0000000002</v>
      </c>
      <c r="G23" s="75">
        <f t="shared" si="2"/>
        <v>1140000.0000000005</v>
      </c>
      <c r="H23" s="75">
        <f t="shared" si="2"/>
        <v>1200000.0000000005</v>
      </c>
      <c r="I23" s="75">
        <f t="shared" si="2"/>
        <v>1200000.0000000005</v>
      </c>
      <c r="J23" s="75">
        <f t="shared" si="2"/>
        <v>1200000.0000000005</v>
      </c>
    </row>
    <row r="24" spans="1:10">
      <c r="A24" s="74"/>
      <c r="B24" s="74"/>
      <c r="C24" s="75"/>
      <c r="D24" s="75"/>
      <c r="E24" s="75"/>
      <c r="F24" s="75"/>
      <c r="G24" s="75"/>
      <c r="H24" s="75"/>
      <c r="I24" s="75"/>
      <c r="J24" s="75"/>
    </row>
    <row r="25" spans="1:10">
      <c r="A25" s="76" t="s">
        <v>142</v>
      </c>
      <c r="B25" s="76"/>
      <c r="C25" s="75"/>
      <c r="D25" s="75"/>
      <c r="E25" s="75"/>
      <c r="F25" s="75"/>
      <c r="G25" s="75"/>
      <c r="H25" s="75"/>
      <c r="I25" s="75"/>
      <c r="J25" s="75"/>
    </row>
    <row r="26" spans="1:10">
      <c r="A26" s="76" t="s">
        <v>308</v>
      </c>
      <c r="B26" s="76"/>
      <c r="C26" s="75"/>
      <c r="D26" s="75"/>
      <c r="E26" s="75"/>
      <c r="F26" s="75"/>
      <c r="G26" s="75"/>
      <c r="H26" s="75"/>
      <c r="I26" s="75"/>
      <c r="J26" s="75"/>
    </row>
    <row r="27" spans="1:10">
      <c r="A27" s="74" t="s">
        <v>299</v>
      </c>
      <c r="B27" s="202" t="s">
        <v>295</v>
      </c>
      <c r="C27" s="226">
        <v>20</v>
      </c>
      <c r="D27" s="75">
        <f t="shared" ref="D27:J27" si="3">$B$4*$C$27*D17*4</f>
        <v>72000</v>
      </c>
      <c r="E27" s="75">
        <f t="shared" si="3"/>
        <v>76000</v>
      </c>
      <c r="F27" s="75">
        <f t="shared" si="3"/>
        <v>80000</v>
      </c>
      <c r="G27" s="75">
        <f t="shared" si="3"/>
        <v>80000</v>
      </c>
      <c r="H27" s="75">
        <f t="shared" si="3"/>
        <v>80000</v>
      </c>
      <c r="I27" s="75">
        <f t="shared" si="3"/>
        <v>80000</v>
      </c>
      <c r="J27" s="75">
        <f t="shared" si="3"/>
        <v>80000</v>
      </c>
    </row>
    <row r="28" spans="1:10">
      <c r="A28" s="74" t="s">
        <v>300</v>
      </c>
      <c r="B28" s="202" t="s">
        <v>295</v>
      </c>
      <c r="C28" s="226">
        <v>20</v>
      </c>
      <c r="D28" s="75">
        <f t="shared" ref="D28:J28" si="4">$B$4*$C$28*D17*12</f>
        <v>216000</v>
      </c>
      <c r="E28" s="75">
        <f t="shared" si="4"/>
        <v>228000</v>
      </c>
      <c r="F28" s="75">
        <f t="shared" si="4"/>
        <v>240000</v>
      </c>
      <c r="G28" s="75">
        <f t="shared" si="4"/>
        <v>240000</v>
      </c>
      <c r="H28" s="75">
        <f t="shared" si="4"/>
        <v>240000</v>
      </c>
      <c r="I28" s="75">
        <f t="shared" si="4"/>
        <v>240000</v>
      </c>
      <c r="J28" s="75">
        <f t="shared" si="4"/>
        <v>240000</v>
      </c>
    </row>
    <row r="29" spans="1:10">
      <c r="A29" s="74" t="s">
        <v>747</v>
      </c>
      <c r="B29" s="202"/>
      <c r="C29" s="349"/>
      <c r="D29" s="75"/>
      <c r="E29" s="75"/>
      <c r="F29" s="75"/>
      <c r="G29" s="75"/>
      <c r="H29" s="75"/>
      <c r="I29" s="75"/>
      <c r="J29" s="75"/>
    </row>
    <row r="30" spans="1:10">
      <c r="A30" s="74"/>
      <c r="B30" s="202"/>
      <c r="C30" s="226"/>
      <c r="D30" s="75"/>
      <c r="E30" s="75"/>
      <c r="F30" s="75"/>
      <c r="G30" s="75"/>
      <c r="H30" s="75"/>
      <c r="I30" s="75"/>
      <c r="J30" s="75"/>
    </row>
    <row r="31" spans="1:10">
      <c r="A31" s="74"/>
      <c r="B31" s="202"/>
      <c r="C31" s="226"/>
      <c r="D31" s="75"/>
      <c r="E31" s="75"/>
      <c r="F31" s="75"/>
      <c r="G31" s="75"/>
      <c r="H31" s="75"/>
      <c r="I31" s="75"/>
      <c r="J31" s="75"/>
    </row>
    <row r="32" spans="1:10">
      <c r="A32" s="74"/>
      <c r="B32" s="202"/>
      <c r="C32" s="226"/>
      <c r="D32" s="75"/>
      <c r="E32" s="75"/>
      <c r="F32" s="75"/>
      <c r="G32" s="75"/>
      <c r="H32" s="75"/>
      <c r="I32" s="75"/>
      <c r="J32" s="75"/>
    </row>
    <row r="33" spans="1:10">
      <c r="A33" s="76" t="s">
        <v>319</v>
      </c>
      <c r="B33" s="207"/>
      <c r="C33" s="230"/>
      <c r="D33" s="92">
        <f t="shared" ref="D33:J33" si="5">SUM(D27:D32)</f>
        <v>288000</v>
      </c>
      <c r="E33" s="92">
        <f t="shared" si="5"/>
        <v>304000</v>
      </c>
      <c r="F33" s="92">
        <f t="shared" si="5"/>
        <v>320000</v>
      </c>
      <c r="G33" s="92">
        <f t="shared" si="5"/>
        <v>320000</v>
      </c>
      <c r="H33" s="92">
        <f t="shared" si="5"/>
        <v>320000</v>
      </c>
      <c r="I33" s="92">
        <f t="shared" si="5"/>
        <v>320000</v>
      </c>
      <c r="J33" s="92">
        <f t="shared" si="5"/>
        <v>320000</v>
      </c>
    </row>
    <row r="34" spans="1:10">
      <c r="A34" s="76"/>
      <c r="B34" s="207"/>
      <c r="C34" s="230"/>
      <c r="D34" s="92"/>
      <c r="E34" s="92"/>
      <c r="F34" s="92"/>
      <c r="G34" s="92"/>
      <c r="H34" s="92"/>
      <c r="I34" s="92"/>
      <c r="J34" s="92"/>
    </row>
    <row r="35" spans="1:10">
      <c r="A35" s="76" t="s">
        <v>306</v>
      </c>
      <c r="B35" s="202"/>
      <c r="C35" s="226"/>
      <c r="D35" s="75"/>
      <c r="E35" s="75"/>
      <c r="F35" s="75"/>
      <c r="G35" s="75"/>
      <c r="H35" s="75"/>
      <c r="I35" s="75"/>
      <c r="J35" s="75"/>
    </row>
    <row r="36" spans="1:10">
      <c r="A36" s="74" t="s">
        <v>321</v>
      </c>
      <c r="B36" s="202">
        <v>1</v>
      </c>
      <c r="C36" s="226">
        <v>20000</v>
      </c>
      <c r="D36" s="75">
        <f>$B$36*$C$36*12</f>
        <v>240000</v>
      </c>
      <c r="E36" s="75">
        <f>$B$36*$C$36*12</f>
        <v>240000</v>
      </c>
      <c r="F36" s="75">
        <f>$B$36*$C$36*F17*12</f>
        <v>240000</v>
      </c>
      <c r="G36" s="75">
        <f>$B$36*$C$36*G17*12</f>
        <v>240000</v>
      </c>
      <c r="H36" s="75">
        <f>$B$36*$C$36*H17*12</f>
        <v>240000</v>
      </c>
      <c r="I36" s="75">
        <f>$B$36*$C$36*I17*12</f>
        <v>240000</v>
      </c>
      <c r="J36" s="75">
        <f>$B$36*$C$36*J17*12</f>
        <v>240000</v>
      </c>
    </row>
    <row r="37" spans="1:10">
      <c r="A37" s="74" t="s">
        <v>715</v>
      </c>
      <c r="B37" s="202">
        <v>2</v>
      </c>
      <c r="C37" s="226">
        <v>10000</v>
      </c>
      <c r="D37" s="75">
        <f>$B$37*$C$37*12</f>
        <v>240000</v>
      </c>
      <c r="E37" s="75">
        <f>$B$37*$C$37*12</f>
        <v>240000</v>
      </c>
      <c r="F37" s="75">
        <f>$B$37*$C$37*F17*12</f>
        <v>240000</v>
      </c>
      <c r="G37" s="75">
        <f>$B$37*$C$37*G17*12</f>
        <v>240000</v>
      </c>
      <c r="H37" s="75">
        <f>$B$37*$C$37*H17*12</f>
        <v>240000</v>
      </c>
      <c r="I37" s="75">
        <f>$B$37*$C$37*I17*12</f>
        <v>240000</v>
      </c>
      <c r="J37" s="75">
        <f>$B$37*$C$37*J17*12</f>
        <v>240000</v>
      </c>
    </row>
    <row r="38" spans="1:10">
      <c r="A38" s="74" t="s">
        <v>301</v>
      </c>
      <c r="B38" s="202"/>
      <c r="C38" s="226">
        <v>25000</v>
      </c>
      <c r="D38" s="75">
        <f>$C$38*12</f>
        <v>300000</v>
      </c>
      <c r="E38" s="75">
        <f>$C$38*12</f>
        <v>300000</v>
      </c>
      <c r="F38" s="75">
        <f>$C$38*12*F17</f>
        <v>300000</v>
      </c>
      <c r="G38" s="75">
        <f>$C$38*12*G17</f>
        <v>300000</v>
      </c>
      <c r="H38" s="75">
        <f>$C$38*12*H17</f>
        <v>300000</v>
      </c>
      <c r="I38" s="75">
        <f>$C$38*12*I17</f>
        <v>300000</v>
      </c>
      <c r="J38" s="75">
        <f>$C$38*12*J17</f>
        <v>300000</v>
      </c>
    </row>
    <row r="39" spans="1:10">
      <c r="A39" s="74"/>
      <c r="B39" s="202"/>
      <c r="C39" s="226"/>
      <c r="D39" s="75"/>
      <c r="E39" s="75"/>
      <c r="F39" s="75"/>
      <c r="G39" s="75"/>
      <c r="H39" s="75"/>
      <c r="I39" s="75"/>
      <c r="J39" s="75"/>
    </row>
    <row r="40" spans="1:10">
      <c r="A40" s="74"/>
      <c r="B40" s="202"/>
      <c r="C40" s="226"/>
      <c r="D40" s="75"/>
      <c r="E40" s="75"/>
      <c r="F40" s="75"/>
      <c r="G40" s="75"/>
      <c r="H40" s="75"/>
      <c r="I40" s="75"/>
      <c r="J40" s="75"/>
    </row>
    <row r="41" spans="1:10">
      <c r="A41" s="74"/>
      <c r="B41" s="202"/>
      <c r="C41" s="226"/>
      <c r="D41" s="75"/>
      <c r="E41" s="75"/>
      <c r="F41" s="75"/>
      <c r="G41" s="75"/>
      <c r="H41" s="75"/>
      <c r="I41" s="75"/>
      <c r="J41" s="75"/>
    </row>
    <row r="42" spans="1:10">
      <c r="A42" s="76" t="s">
        <v>323</v>
      </c>
      <c r="B42" s="76"/>
      <c r="C42" s="92"/>
      <c r="D42" s="92">
        <f>SUM(D36:D41)</f>
        <v>780000</v>
      </c>
      <c r="E42" s="92">
        <f t="shared" ref="E42:J42" si="6">SUM(E36:E41)</f>
        <v>780000</v>
      </c>
      <c r="F42" s="92">
        <f t="shared" si="6"/>
        <v>780000</v>
      </c>
      <c r="G42" s="92">
        <f t="shared" si="6"/>
        <v>780000</v>
      </c>
      <c r="H42" s="92">
        <f t="shared" si="6"/>
        <v>780000</v>
      </c>
      <c r="I42" s="92">
        <f t="shared" si="6"/>
        <v>780000</v>
      </c>
      <c r="J42" s="92">
        <f t="shared" si="6"/>
        <v>780000</v>
      </c>
    </row>
    <row r="43" spans="1:10">
      <c r="A43" s="76"/>
      <c r="B43" s="76"/>
      <c r="C43" s="92"/>
      <c r="D43" s="92"/>
      <c r="E43" s="92"/>
      <c r="F43" s="92"/>
      <c r="G43" s="92"/>
      <c r="H43" s="92"/>
      <c r="I43" s="92"/>
      <c r="J43" s="92"/>
    </row>
    <row r="44" spans="1:10">
      <c r="A44" s="76" t="s">
        <v>130</v>
      </c>
      <c r="B44" s="76"/>
      <c r="C44" s="92"/>
      <c r="D44" s="92">
        <f>D33+D42</f>
        <v>1068000</v>
      </c>
      <c r="E44" s="92">
        <f t="shared" ref="E44:J44" si="7">E33+E42</f>
        <v>1084000</v>
      </c>
      <c r="F44" s="92">
        <f t="shared" si="7"/>
        <v>1100000</v>
      </c>
      <c r="G44" s="92">
        <f t="shared" si="7"/>
        <v>1100000</v>
      </c>
      <c r="H44" s="92">
        <f t="shared" si="7"/>
        <v>1100000</v>
      </c>
      <c r="I44" s="92">
        <f t="shared" si="7"/>
        <v>1100000</v>
      </c>
      <c r="J44" s="92">
        <f t="shared" si="7"/>
        <v>1100000</v>
      </c>
    </row>
    <row r="45" spans="1:10">
      <c r="A45" s="74"/>
      <c r="B45" s="74"/>
      <c r="C45" s="75"/>
      <c r="D45" s="75"/>
      <c r="E45" s="75"/>
      <c r="F45" s="75"/>
      <c r="G45" s="75"/>
      <c r="H45" s="75"/>
      <c r="I45" s="75"/>
      <c r="J45" s="75"/>
    </row>
    <row r="46" spans="1:10">
      <c r="A46" s="76" t="s">
        <v>129</v>
      </c>
      <c r="B46" s="76"/>
      <c r="C46" s="92"/>
      <c r="D46" s="92">
        <f t="shared" ref="D46:J46" si="8">D23-D44</f>
        <v>-204000</v>
      </c>
      <c r="E46" s="92">
        <f t="shared" si="8"/>
        <v>-114999.99999999977</v>
      </c>
      <c r="F46" s="92">
        <f t="shared" si="8"/>
        <v>-19999.999999999767</v>
      </c>
      <c r="G46" s="92">
        <f t="shared" si="8"/>
        <v>40000.000000000466</v>
      </c>
      <c r="H46" s="92">
        <f t="shared" si="8"/>
        <v>100000.00000000047</v>
      </c>
      <c r="I46" s="92">
        <f t="shared" si="8"/>
        <v>100000.00000000047</v>
      </c>
      <c r="J46" s="92">
        <f t="shared" si="8"/>
        <v>100000.00000000047</v>
      </c>
    </row>
    <row r="47" spans="1:10">
      <c r="A47" s="73"/>
      <c r="B47" s="73"/>
      <c r="C47" s="73"/>
      <c r="D47" s="73"/>
      <c r="E47" s="73"/>
      <c r="F47" s="73"/>
      <c r="G47" s="73"/>
      <c r="H47" s="73"/>
      <c r="I47" s="73"/>
      <c r="J47" s="73"/>
    </row>
    <row r="48" spans="1:10">
      <c r="A48" s="73"/>
    </row>
    <row r="50" spans="1:10">
      <c r="A50" s="370" t="s">
        <v>421</v>
      </c>
      <c r="B50" s="370"/>
      <c r="C50" s="370"/>
      <c r="D50" s="370"/>
      <c r="E50" s="370"/>
      <c r="F50" s="370"/>
      <c r="G50" s="370"/>
      <c r="H50" s="370"/>
      <c r="I50" s="370"/>
      <c r="J50" s="370"/>
    </row>
    <row r="52" spans="1:10">
      <c r="A52" t="s">
        <v>537</v>
      </c>
    </row>
    <row r="53" spans="1:10">
      <c r="A53">
        <v>1</v>
      </c>
      <c r="B53" t="s">
        <v>550</v>
      </c>
    </row>
    <row r="54" spans="1:10">
      <c r="A54">
        <v>2</v>
      </c>
      <c r="B54" t="s">
        <v>551</v>
      </c>
    </row>
    <row r="55" spans="1:10">
      <c r="A55">
        <v>3</v>
      </c>
      <c r="B55" s="73" t="s">
        <v>601</v>
      </c>
    </row>
  </sheetData>
  <mergeCells count="4">
    <mergeCell ref="A15:J15"/>
    <mergeCell ref="A2:H2"/>
    <mergeCell ref="A50:J50"/>
    <mergeCell ref="A3:H3"/>
  </mergeCells>
  <pageMargins left="0.7" right="0.7" top="0.75" bottom="0.75" header="0.3" footer="0.3"/>
  <pageSetup paperSize="9" scale="43" orientation="portrait" r:id="rId1"/>
</worksheet>
</file>

<file path=xl/worksheets/sheet16.xml><?xml version="1.0" encoding="utf-8"?>
<worksheet xmlns="http://schemas.openxmlformats.org/spreadsheetml/2006/main" xmlns:r="http://schemas.openxmlformats.org/officeDocument/2006/relationships">
  <dimension ref="A3:P60"/>
  <sheetViews>
    <sheetView view="pageBreakPreview" topLeftCell="A28" zoomScale="80" zoomScaleSheetLayoutView="80" workbookViewId="0">
      <selection activeCell="C36" sqref="C36"/>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368" t="s">
        <v>591</v>
      </c>
      <c r="B3" s="368"/>
      <c r="C3" s="368"/>
      <c r="D3" s="368"/>
      <c r="E3" s="368"/>
      <c r="F3" s="368"/>
      <c r="G3" s="368"/>
      <c r="H3" s="368"/>
      <c r="I3" s="368"/>
      <c r="J3" s="368"/>
      <c r="K3" s="368"/>
      <c r="L3" s="368"/>
    </row>
    <row r="4" spans="1:13" ht="18.75">
      <c r="A4" s="368" t="s">
        <v>592</v>
      </c>
      <c r="B4" s="368"/>
      <c r="C4" s="368"/>
      <c r="D4" s="368"/>
      <c r="E4" s="368"/>
      <c r="F4" s="368"/>
      <c r="G4" s="368"/>
      <c r="H4" s="368"/>
      <c r="I4" s="368"/>
      <c r="J4" s="368"/>
      <c r="K4" s="368"/>
      <c r="L4" s="368"/>
    </row>
    <row r="5" spans="1:13">
      <c r="A5" s="73"/>
      <c r="B5" s="73"/>
      <c r="C5" s="73"/>
    </row>
    <row r="6" spans="1:13">
      <c r="A6" s="73"/>
      <c r="B6" s="73"/>
      <c r="C6" s="73"/>
    </row>
    <row r="7" spans="1:13" ht="45">
      <c r="A7" s="258" t="s">
        <v>145</v>
      </c>
      <c r="B7" s="259" t="s">
        <v>429</v>
      </c>
      <c r="C7" s="259" t="s">
        <v>432</v>
      </c>
      <c r="D7" s="259" t="s">
        <v>430</v>
      </c>
      <c r="E7" s="259" t="s">
        <v>431</v>
      </c>
      <c r="F7" s="259" t="s">
        <v>302</v>
      </c>
      <c r="G7" s="259" t="s">
        <v>433</v>
      </c>
      <c r="H7" s="259" t="s">
        <v>434</v>
      </c>
      <c r="I7" s="259" t="s">
        <v>435</v>
      </c>
      <c r="J7" s="261" t="s">
        <v>438</v>
      </c>
      <c r="K7" s="259" t="s">
        <v>436</v>
      </c>
      <c r="L7" s="261" t="s">
        <v>437</v>
      </c>
      <c r="M7" s="259" t="s">
        <v>440</v>
      </c>
    </row>
    <row r="8" spans="1:13">
      <c r="A8" s="260">
        <v>1</v>
      </c>
      <c r="B8" s="254" t="s">
        <v>716</v>
      </c>
      <c r="C8" s="254">
        <v>1</v>
      </c>
      <c r="D8" s="254">
        <v>180</v>
      </c>
      <c r="E8" s="254">
        <v>8</v>
      </c>
      <c r="F8" s="9">
        <f>D8*E8*C8</f>
        <v>1440</v>
      </c>
      <c r="G8" s="254">
        <v>4</v>
      </c>
      <c r="H8" s="9">
        <f>F8/G8</f>
        <v>360</v>
      </c>
      <c r="I8" s="254">
        <v>4</v>
      </c>
      <c r="J8" s="9">
        <f>H8*I8</f>
        <v>1440</v>
      </c>
      <c r="K8" s="254">
        <v>3000</v>
      </c>
      <c r="L8" s="254">
        <v>1</v>
      </c>
      <c r="M8" s="9">
        <f t="shared" ref="M8:M13" si="0">D8*L8</f>
        <v>180</v>
      </c>
    </row>
    <row r="9" spans="1:13">
      <c r="A9" s="260">
        <v>6</v>
      </c>
      <c r="B9" s="9"/>
      <c r="C9" s="9"/>
      <c r="D9" s="9"/>
      <c r="E9" s="9"/>
      <c r="F9" s="9">
        <f t="shared" ref="F9:F13" si="1">D9*E9*C9</f>
        <v>0</v>
      </c>
      <c r="G9" s="9">
        <v>0</v>
      </c>
      <c r="H9" s="254"/>
      <c r="I9" s="9"/>
      <c r="J9" s="9">
        <f t="shared" ref="J9:J13" si="2">H9*I9</f>
        <v>0</v>
      </c>
      <c r="K9" s="9"/>
      <c r="L9" s="9"/>
      <c r="M9" s="9">
        <f t="shared" si="0"/>
        <v>0</v>
      </c>
    </row>
    <row r="10" spans="1:13">
      <c r="A10" s="260">
        <v>7</v>
      </c>
      <c r="B10" s="9"/>
      <c r="C10" s="9"/>
      <c r="D10" s="9"/>
      <c r="E10" s="9"/>
      <c r="F10" s="9">
        <f t="shared" si="1"/>
        <v>0</v>
      </c>
      <c r="G10" s="9">
        <v>0</v>
      </c>
      <c r="H10" s="254"/>
      <c r="I10" s="9"/>
      <c r="J10" s="9">
        <f t="shared" si="2"/>
        <v>0</v>
      </c>
      <c r="K10" s="9"/>
      <c r="L10" s="9"/>
      <c r="M10" s="9">
        <f t="shared" si="0"/>
        <v>0</v>
      </c>
    </row>
    <row r="11" spans="1:13">
      <c r="A11" s="260">
        <v>8</v>
      </c>
      <c r="B11" s="9"/>
      <c r="C11" s="9"/>
      <c r="D11" s="9"/>
      <c r="E11" s="9"/>
      <c r="F11" s="9">
        <f t="shared" si="1"/>
        <v>0</v>
      </c>
      <c r="G11" s="9">
        <v>0</v>
      </c>
      <c r="H11" s="254"/>
      <c r="I11" s="9"/>
      <c r="J11" s="9">
        <f t="shared" si="2"/>
        <v>0</v>
      </c>
      <c r="K11" s="9"/>
      <c r="L11" s="9"/>
      <c r="M11" s="9">
        <f t="shared" si="0"/>
        <v>0</v>
      </c>
    </row>
    <row r="12" spans="1:13">
      <c r="A12" s="260">
        <v>9</v>
      </c>
      <c r="B12" s="9"/>
      <c r="C12" s="9"/>
      <c r="D12" s="9"/>
      <c r="E12" s="9"/>
      <c r="F12" s="9">
        <f t="shared" si="1"/>
        <v>0</v>
      </c>
      <c r="G12" s="9">
        <v>0</v>
      </c>
      <c r="H12" s="254"/>
      <c r="I12" s="9"/>
      <c r="J12" s="9">
        <f t="shared" si="2"/>
        <v>0</v>
      </c>
      <c r="K12" s="9"/>
      <c r="L12" s="9"/>
      <c r="M12" s="9">
        <f t="shared" si="0"/>
        <v>0</v>
      </c>
    </row>
    <row r="13" spans="1:13">
      <c r="A13" s="260">
        <v>10</v>
      </c>
      <c r="B13" s="9"/>
      <c r="C13" s="9"/>
      <c r="D13" s="9"/>
      <c r="E13" s="9"/>
      <c r="F13" s="9">
        <f t="shared" si="1"/>
        <v>0</v>
      </c>
      <c r="G13" s="9">
        <v>0</v>
      </c>
      <c r="H13" s="254"/>
      <c r="I13" s="9"/>
      <c r="J13" s="9">
        <f t="shared" si="2"/>
        <v>0</v>
      </c>
      <c r="K13" s="9"/>
      <c r="L13" s="9"/>
      <c r="M13" s="9">
        <f t="shared" si="0"/>
        <v>0</v>
      </c>
    </row>
    <row r="14" spans="1:13">
      <c r="A14" s="13"/>
      <c r="B14" s="13"/>
    </row>
    <row r="15" spans="1:13">
      <c r="A15" s="13"/>
      <c r="B15" s="13"/>
    </row>
    <row r="17" spans="1:16" ht="18.75">
      <c r="A17" s="368" t="s">
        <v>593</v>
      </c>
      <c r="B17" s="368"/>
      <c r="C17" s="368"/>
      <c r="D17" s="368"/>
      <c r="E17" s="368"/>
      <c r="F17" s="368"/>
      <c r="G17" s="368"/>
      <c r="H17" s="368"/>
      <c r="I17" s="368"/>
      <c r="J17" s="368"/>
      <c r="K17" s="368"/>
    </row>
    <row r="19" spans="1:16">
      <c r="A19" s="73"/>
      <c r="B19" s="73"/>
      <c r="C19" s="73"/>
      <c r="D19" s="73"/>
      <c r="E19" s="155">
        <v>0.9</v>
      </c>
      <c r="F19" s="153">
        <v>0.95</v>
      </c>
      <c r="G19" s="153">
        <v>1</v>
      </c>
      <c r="H19" s="153">
        <v>1</v>
      </c>
      <c r="I19" s="153">
        <v>1</v>
      </c>
      <c r="J19" s="153">
        <v>1</v>
      </c>
      <c r="K19" s="153">
        <v>1</v>
      </c>
    </row>
    <row r="20" spans="1:16">
      <c r="A20" s="125" t="s">
        <v>0</v>
      </c>
      <c r="B20" s="125" t="s">
        <v>132</v>
      </c>
      <c r="C20" s="125" t="s">
        <v>146</v>
      </c>
      <c r="D20" s="125" t="s">
        <v>152</v>
      </c>
      <c r="E20" s="97" t="s">
        <v>2</v>
      </c>
      <c r="F20" s="97" t="s">
        <v>3</v>
      </c>
      <c r="G20" s="97" t="s">
        <v>4</v>
      </c>
      <c r="H20" s="97" t="s">
        <v>5</v>
      </c>
      <c r="I20" s="97" t="s">
        <v>6</v>
      </c>
      <c r="J20" s="97" t="s">
        <v>168</v>
      </c>
      <c r="K20" s="97" t="s">
        <v>167</v>
      </c>
    </row>
    <row r="21" spans="1:16">
      <c r="A21" s="76"/>
      <c r="B21" s="76"/>
      <c r="C21" s="76"/>
      <c r="D21" s="76"/>
      <c r="E21" s="74"/>
      <c r="F21" s="74"/>
      <c r="G21" s="74"/>
      <c r="H21" s="74"/>
      <c r="I21" s="74"/>
      <c r="J21" s="74"/>
      <c r="K21" s="74"/>
    </row>
    <row r="22" spans="1:16">
      <c r="A22" s="76" t="s">
        <v>127</v>
      </c>
      <c r="B22" s="76"/>
      <c r="C22" s="76"/>
      <c r="D22" s="76"/>
      <c r="E22" s="74"/>
      <c r="F22" s="74"/>
      <c r="G22" s="74"/>
      <c r="H22" s="74"/>
      <c r="I22" s="74"/>
      <c r="J22" s="74"/>
      <c r="K22" s="74"/>
      <c r="P22" s="73"/>
    </row>
    <row r="23" spans="1:16">
      <c r="A23" s="167" t="s">
        <v>442</v>
      </c>
      <c r="B23" s="86"/>
      <c r="C23" s="86"/>
      <c r="D23" s="86"/>
      <c r="E23" s="75"/>
      <c r="F23" s="75"/>
      <c r="G23" s="75"/>
      <c r="H23" s="75"/>
      <c r="I23" s="75"/>
      <c r="J23" s="75"/>
      <c r="K23" s="75"/>
      <c r="P23" s="73"/>
    </row>
    <row r="24" spans="1:16">
      <c r="A24" s="86" t="str">
        <f>B8</f>
        <v>Combine Harvester</v>
      </c>
      <c r="B24" s="86" t="s">
        <v>700</v>
      </c>
      <c r="C24" s="86">
        <f t="shared" ref="C24:C30" si="3">H8</f>
        <v>360</v>
      </c>
      <c r="D24" s="86">
        <v>2000</v>
      </c>
      <c r="E24" s="75">
        <f>$C$24*$D$24*E19</f>
        <v>648000</v>
      </c>
      <c r="F24" s="75">
        <f t="shared" ref="F24:K24" si="4">$C$24*$D$24*F19</f>
        <v>684000</v>
      </c>
      <c r="G24" s="75">
        <f t="shared" si="4"/>
        <v>720000</v>
      </c>
      <c r="H24" s="75">
        <f t="shared" si="4"/>
        <v>720000</v>
      </c>
      <c r="I24" s="75">
        <f t="shared" si="4"/>
        <v>720000</v>
      </c>
      <c r="J24" s="75">
        <f t="shared" si="4"/>
        <v>720000</v>
      </c>
      <c r="K24" s="75">
        <f t="shared" si="4"/>
        <v>720000</v>
      </c>
      <c r="P24" s="73"/>
    </row>
    <row r="25" spans="1:16">
      <c r="A25" s="86"/>
      <c r="B25" s="86"/>
      <c r="C25" s="86">
        <f t="shared" si="3"/>
        <v>0</v>
      </c>
      <c r="D25" s="86">
        <f t="shared" ref="D25:D30" si="5">K9</f>
        <v>0</v>
      </c>
      <c r="E25" s="75">
        <f t="shared" ref="E25:K25" si="6">$C$25*$D$25*E19</f>
        <v>0</v>
      </c>
      <c r="F25" s="75">
        <f t="shared" si="6"/>
        <v>0</v>
      </c>
      <c r="G25" s="75">
        <f t="shared" si="6"/>
        <v>0</v>
      </c>
      <c r="H25" s="75">
        <f t="shared" si="6"/>
        <v>0</v>
      </c>
      <c r="I25" s="75">
        <f t="shared" si="6"/>
        <v>0</v>
      </c>
      <c r="J25" s="75">
        <f t="shared" si="6"/>
        <v>0</v>
      </c>
      <c r="K25" s="75">
        <f t="shared" si="6"/>
        <v>0</v>
      </c>
      <c r="P25" s="73"/>
    </row>
    <row r="26" spans="1:16">
      <c r="A26" s="86"/>
      <c r="B26" s="86"/>
      <c r="C26" s="86">
        <f t="shared" si="3"/>
        <v>0</v>
      </c>
      <c r="D26" s="86">
        <f t="shared" si="5"/>
        <v>0</v>
      </c>
      <c r="E26" s="75">
        <f t="shared" ref="E26:K26" si="7">$C$26*$D$26*E19</f>
        <v>0</v>
      </c>
      <c r="F26" s="75">
        <f t="shared" si="7"/>
        <v>0</v>
      </c>
      <c r="G26" s="75">
        <f t="shared" si="7"/>
        <v>0</v>
      </c>
      <c r="H26" s="75">
        <f t="shared" si="7"/>
        <v>0</v>
      </c>
      <c r="I26" s="75">
        <f t="shared" si="7"/>
        <v>0</v>
      </c>
      <c r="J26" s="75">
        <f t="shared" si="7"/>
        <v>0</v>
      </c>
      <c r="K26" s="75">
        <f t="shared" si="7"/>
        <v>0</v>
      </c>
      <c r="P26" s="73"/>
    </row>
    <row r="27" spans="1:16">
      <c r="A27" s="86"/>
      <c r="B27" s="86"/>
      <c r="C27" s="86">
        <f t="shared" si="3"/>
        <v>0</v>
      </c>
      <c r="D27" s="86">
        <f t="shared" si="5"/>
        <v>0</v>
      </c>
      <c r="E27" s="75">
        <f t="shared" ref="E27:K27" si="8">$C$27*$D$27*E19</f>
        <v>0</v>
      </c>
      <c r="F27" s="75">
        <f t="shared" si="8"/>
        <v>0</v>
      </c>
      <c r="G27" s="75">
        <f t="shared" si="8"/>
        <v>0</v>
      </c>
      <c r="H27" s="75">
        <f t="shared" si="8"/>
        <v>0</v>
      </c>
      <c r="I27" s="75">
        <f t="shared" si="8"/>
        <v>0</v>
      </c>
      <c r="J27" s="75">
        <f t="shared" si="8"/>
        <v>0</v>
      </c>
      <c r="K27" s="75">
        <f t="shared" si="8"/>
        <v>0</v>
      </c>
      <c r="P27" s="73"/>
    </row>
    <row r="28" spans="1:16">
      <c r="A28" s="86"/>
      <c r="B28" s="86"/>
      <c r="C28" s="86">
        <f t="shared" si="3"/>
        <v>0</v>
      </c>
      <c r="D28" s="86">
        <f t="shared" si="5"/>
        <v>0</v>
      </c>
      <c r="E28" s="75">
        <f t="shared" ref="E28:K28" si="9">$C$28*$D$28*E19</f>
        <v>0</v>
      </c>
      <c r="F28" s="75">
        <f t="shared" si="9"/>
        <v>0</v>
      </c>
      <c r="G28" s="75">
        <f t="shared" si="9"/>
        <v>0</v>
      </c>
      <c r="H28" s="75">
        <f t="shared" si="9"/>
        <v>0</v>
      </c>
      <c r="I28" s="75">
        <f t="shared" si="9"/>
        <v>0</v>
      </c>
      <c r="J28" s="75">
        <f t="shared" si="9"/>
        <v>0</v>
      </c>
      <c r="K28" s="75">
        <f t="shared" si="9"/>
        <v>0</v>
      </c>
      <c r="P28" s="73"/>
    </row>
    <row r="29" spans="1:16">
      <c r="A29" s="86"/>
      <c r="B29" s="86"/>
      <c r="C29" s="86">
        <f t="shared" si="3"/>
        <v>0</v>
      </c>
      <c r="D29" s="86">
        <f t="shared" si="5"/>
        <v>0</v>
      </c>
      <c r="E29" s="75">
        <f t="shared" ref="E29:K29" si="10">$C$29*$D$29*E19</f>
        <v>0</v>
      </c>
      <c r="F29" s="75">
        <f t="shared" si="10"/>
        <v>0</v>
      </c>
      <c r="G29" s="75">
        <f t="shared" si="10"/>
        <v>0</v>
      </c>
      <c r="H29" s="75">
        <f t="shared" si="10"/>
        <v>0</v>
      </c>
      <c r="I29" s="75">
        <f t="shared" si="10"/>
        <v>0</v>
      </c>
      <c r="J29" s="75">
        <f t="shared" si="10"/>
        <v>0</v>
      </c>
      <c r="K29" s="75">
        <f t="shared" si="10"/>
        <v>0</v>
      </c>
      <c r="P29" s="73"/>
    </row>
    <row r="30" spans="1:16">
      <c r="A30" s="76"/>
      <c r="B30" s="76"/>
      <c r="C30" s="86">
        <f t="shared" si="3"/>
        <v>0</v>
      </c>
      <c r="D30" s="86">
        <f t="shared" si="5"/>
        <v>0</v>
      </c>
      <c r="E30" s="75">
        <f t="shared" ref="E30:K30" si="11">$C$30*$D$30*E19</f>
        <v>0</v>
      </c>
      <c r="F30" s="75">
        <f t="shared" si="11"/>
        <v>0</v>
      </c>
      <c r="G30" s="75">
        <f t="shared" si="11"/>
        <v>0</v>
      </c>
      <c r="H30" s="75">
        <f t="shared" si="11"/>
        <v>0</v>
      </c>
      <c r="I30" s="75">
        <f t="shared" si="11"/>
        <v>0</v>
      </c>
      <c r="J30" s="75">
        <f t="shared" si="11"/>
        <v>0</v>
      </c>
      <c r="K30" s="75">
        <f t="shared" si="11"/>
        <v>0</v>
      </c>
      <c r="P30" s="73"/>
    </row>
    <row r="31" spans="1:16">
      <c r="A31" s="76" t="s">
        <v>143</v>
      </c>
      <c r="B31" s="76"/>
      <c r="C31" s="76"/>
      <c r="D31" s="76"/>
      <c r="E31" s="75">
        <f t="shared" ref="E31:K31" si="12">SUM(E24:E30)</f>
        <v>648000</v>
      </c>
      <c r="F31" s="75">
        <f t="shared" si="12"/>
        <v>684000</v>
      </c>
      <c r="G31" s="75">
        <f t="shared" si="12"/>
        <v>720000</v>
      </c>
      <c r="H31" s="75">
        <f t="shared" si="12"/>
        <v>720000</v>
      </c>
      <c r="I31" s="75">
        <f t="shared" si="12"/>
        <v>720000</v>
      </c>
      <c r="J31" s="75">
        <f t="shared" si="12"/>
        <v>720000</v>
      </c>
      <c r="K31" s="75">
        <f t="shared" si="12"/>
        <v>720000</v>
      </c>
      <c r="P31" s="73"/>
    </row>
    <row r="32" spans="1:16">
      <c r="A32" s="74"/>
      <c r="B32" s="74"/>
      <c r="C32" s="74"/>
      <c r="D32" s="74"/>
      <c r="E32" s="75"/>
      <c r="F32" s="75"/>
      <c r="G32" s="75"/>
      <c r="H32" s="75"/>
      <c r="I32" s="75"/>
      <c r="J32" s="75"/>
      <c r="K32" s="75"/>
      <c r="P32" s="73"/>
    </row>
    <row r="33" spans="1:16">
      <c r="A33" s="76" t="s">
        <v>142</v>
      </c>
      <c r="B33" s="76"/>
      <c r="C33" s="76"/>
      <c r="D33" s="76"/>
      <c r="E33" s="75"/>
      <c r="F33" s="75"/>
      <c r="G33" s="75"/>
      <c r="H33" s="75"/>
      <c r="I33" s="75"/>
      <c r="J33" s="75"/>
      <c r="K33" s="75"/>
      <c r="P33" s="73"/>
    </row>
    <row r="34" spans="1:16">
      <c r="A34" s="76" t="s">
        <v>303</v>
      </c>
      <c r="B34" s="76"/>
      <c r="C34" s="76"/>
      <c r="D34" s="76"/>
      <c r="E34" s="75"/>
      <c r="F34" s="75"/>
      <c r="G34" s="75"/>
      <c r="H34" s="75"/>
      <c r="I34" s="75"/>
      <c r="J34" s="75"/>
      <c r="K34" s="75"/>
    </row>
    <row r="35" spans="1:16">
      <c r="A35" s="74" t="s">
        <v>304</v>
      </c>
      <c r="B35" s="74" t="s">
        <v>439</v>
      </c>
      <c r="C35" s="74">
        <v>1400</v>
      </c>
      <c r="D35" s="202">
        <v>100</v>
      </c>
      <c r="E35" s="75">
        <f t="shared" ref="E35:K35" si="13">$C$35*$D$35*E19</f>
        <v>126000</v>
      </c>
      <c r="F35" s="75">
        <f t="shared" si="13"/>
        <v>133000</v>
      </c>
      <c r="G35" s="75">
        <f t="shared" si="13"/>
        <v>140000</v>
      </c>
      <c r="H35" s="75">
        <f t="shared" si="13"/>
        <v>140000</v>
      </c>
      <c r="I35" s="75">
        <f t="shared" si="13"/>
        <v>140000</v>
      </c>
      <c r="J35" s="75">
        <f t="shared" si="13"/>
        <v>140000</v>
      </c>
      <c r="K35" s="75">
        <f t="shared" si="13"/>
        <v>140000</v>
      </c>
    </row>
    <row r="36" spans="1:16">
      <c r="A36" s="74" t="s">
        <v>305</v>
      </c>
      <c r="B36" s="74" t="s">
        <v>441</v>
      </c>
      <c r="C36" s="74">
        <v>200</v>
      </c>
      <c r="D36" s="202">
        <v>300</v>
      </c>
      <c r="E36" s="75">
        <f t="shared" ref="E36:K36" si="14">$C$36*$D$36*E19</f>
        <v>54000</v>
      </c>
      <c r="F36" s="75">
        <f t="shared" si="14"/>
        <v>57000</v>
      </c>
      <c r="G36" s="75">
        <f t="shared" si="14"/>
        <v>60000</v>
      </c>
      <c r="H36" s="75">
        <f t="shared" si="14"/>
        <v>60000</v>
      </c>
      <c r="I36" s="75">
        <f t="shared" si="14"/>
        <v>60000</v>
      </c>
      <c r="J36" s="75">
        <f t="shared" si="14"/>
        <v>60000</v>
      </c>
      <c r="K36" s="75">
        <f t="shared" si="14"/>
        <v>60000</v>
      </c>
    </row>
    <row r="37" spans="1:16">
      <c r="A37" s="74"/>
      <c r="B37" s="74"/>
      <c r="C37" s="202"/>
      <c r="D37" s="202"/>
      <c r="E37" s="75"/>
      <c r="F37" s="75"/>
      <c r="G37" s="75"/>
      <c r="H37" s="75"/>
      <c r="I37" s="75"/>
      <c r="J37" s="75"/>
      <c r="K37" s="75"/>
    </row>
    <row r="38" spans="1:16">
      <c r="A38" s="74"/>
      <c r="B38" s="74"/>
      <c r="C38" s="202"/>
      <c r="D38" s="202"/>
      <c r="E38" s="75"/>
      <c r="F38" s="75"/>
      <c r="G38" s="75"/>
      <c r="H38" s="75"/>
      <c r="I38" s="75"/>
      <c r="J38" s="75"/>
      <c r="K38" s="75"/>
    </row>
    <row r="39" spans="1:16">
      <c r="A39" s="74"/>
      <c r="B39" s="74"/>
      <c r="C39" s="202"/>
      <c r="D39" s="202"/>
      <c r="E39" s="75"/>
      <c r="F39" s="75"/>
      <c r="G39" s="75"/>
      <c r="H39" s="75"/>
      <c r="I39" s="75"/>
      <c r="J39" s="75"/>
      <c r="K39" s="75"/>
    </row>
    <row r="40" spans="1:16">
      <c r="A40" s="74"/>
      <c r="B40" s="74"/>
      <c r="C40" s="202"/>
      <c r="D40" s="202"/>
      <c r="E40" s="75"/>
      <c r="F40" s="75"/>
      <c r="G40" s="75"/>
      <c r="H40" s="75"/>
      <c r="I40" s="75"/>
      <c r="J40" s="75"/>
      <c r="K40" s="75"/>
    </row>
    <row r="41" spans="1:16">
      <c r="A41" s="76" t="s">
        <v>319</v>
      </c>
      <c r="B41" s="76"/>
      <c r="C41" s="207"/>
      <c r="D41" s="207"/>
      <c r="E41" s="92">
        <f>SUM(E35:E40)</f>
        <v>180000</v>
      </c>
      <c r="F41" s="92">
        <f t="shared" ref="F41:K41" si="15">SUM(F35:F40)</f>
        <v>190000</v>
      </c>
      <c r="G41" s="92">
        <f t="shared" si="15"/>
        <v>200000</v>
      </c>
      <c r="H41" s="92">
        <f t="shared" si="15"/>
        <v>200000</v>
      </c>
      <c r="I41" s="92">
        <f t="shared" si="15"/>
        <v>200000</v>
      </c>
      <c r="J41" s="92">
        <f t="shared" si="15"/>
        <v>200000</v>
      </c>
      <c r="K41" s="92">
        <f t="shared" si="15"/>
        <v>200000</v>
      </c>
    </row>
    <row r="42" spans="1:16">
      <c r="A42" s="76"/>
      <c r="B42" s="76"/>
      <c r="C42" s="207"/>
      <c r="D42" s="207"/>
      <c r="E42" s="92"/>
      <c r="F42" s="92"/>
      <c r="G42" s="92"/>
      <c r="H42" s="92"/>
      <c r="I42" s="92"/>
      <c r="J42" s="92"/>
      <c r="K42" s="92"/>
    </row>
    <row r="43" spans="1:16">
      <c r="A43" s="167" t="s">
        <v>306</v>
      </c>
      <c r="B43" s="167"/>
      <c r="C43" s="228"/>
      <c r="D43" s="228"/>
      <c r="E43" s="75"/>
      <c r="F43" s="75"/>
      <c r="G43" s="75"/>
      <c r="H43" s="75"/>
      <c r="I43" s="75"/>
      <c r="J43" s="75"/>
      <c r="K43" s="75"/>
    </row>
    <row r="44" spans="1:16">
      <c r="A44" s="86" t="s">
        <v>307</v>
      </c>
      <c r="B44" s="74" t="s">
        <v>388</v>
      </c>
      <c r="C44" s="228">
        <v>1</v>
      </c>
      <c r="D44" s="229">
        <v>7000</v>
      </c>
      <c r="E44" s="75">
        <f>$C$44*$D$44*12</f>
        <v>84000</v>
      </c>
      <c r="F44" s="75">
        <f>$C$44*$D$44*12</f>
        <v>84000</v>
      </c>
      <c r="G44" s="75">
        <f t="shared" ref="G44:K44" si="16">$C$44*$D$44*12*G19</f>
        <v>84000</v>
      </c>
      <c r="H44" s="75">
        <f t="shared" si="16"/>
        <v>84000</v>
      </c>
      <c r="I44" s="75">
        <f t="shared" si="16"/>
        <v>84000</v>
      </c>
      <c r="J44" s="75">
        <f t="shared" si="16"/>
        <v>84000</v>
      </c>
      <c r="K44" s="75">
        <f t="shared" si="16"/>
        <v>84000</v>
      </c>
    </row>
    <row r="45" spans="1:16">
      <c r="A45" s="86"/>
      <c r="B45" s="86"/>
      <c r="C45" s="228"/>
      <c r="D45" s="229"/>
      <c r="E45" s="75"/>
      <c r="F45" s="75"/>
      <c r="G45" s="75"/>
      <c r="H45" s="75"/>
      <c r="I45" s="75"/>
      <c r="J45" s="75"/>
      <c r="K45" s="75"/>
    </row>
    <row r="46" spans="1:16">
      <c r="A46" s="86"/>
      <c r="B46" s="86"/>
      <c r="C46" s="228"/>
      <c r="D46" s="229"/>
      <c r="E46" s="75"/>
      <c r="F46" s="75"/>
      <c r="G46" s="75"/>
      <c r="H46" s="75"/>
      <c r="I46" s="75"/>
      <c r="J46" s="75"/>
      <c r="K46" s="75"/>
    </row>
    <row r="47" spans="1:16">
      <c r="A47" s="86"/>
      <c r="B47" s="86"/>
      <c r="C47" s="228"/>
      <c r="D47" s="229"/>
      <c r="E47" s="75"/>
      <c r="F47" s="75"/>
      <c r="G47" s="75"/>
      <c r="H47" s="75"/>
      <c r="I47" s="75"/>
      <c r="J47" s="75"/>
      <c r="K47" s="75"/>
    </row>
    <row r="48" spans="1:16">
      <c r="A48" s="76" t="s">
        <v>323</v>
      </c>
      <c r="B48" s="76"/>
      <c r="C48" s="76"/>
      <c r="D48" s="76"/>
      <c r="E48" s="92">
        <f>SUM(E44:E47)</f>
        <v>84000</v>
      </c>
      <c r="F48" s="92">
        <f t="shared" ref="F48:K48" si="17">SUM(F44:F47)</f>
        <v>84000</v>
      </c>
      <c r="G48" s="92">
        <f t="shared" si="17"/>
        <v>84000</v>
      </c>
      <c r="H48" s="92">
        <f t="shared" si="17"/>
        <v>84000</v>
      </c>
      <c r="I48" s="92">
        <f t="shared" si="17"/>
        <v>84000</v>
      </c>
      <c r="J48" s="92">
        <f t="shared" si="17"/>
        <v>84000</v>
      </c>
      <c r="K48" s="92">
        <f t="shared" si="17"/>
        <v>84000</v>
      </c>
    </row>
    <row r="49" spans="1:12">
      <c r="A49" s="76" t="s">
        <v>130</v>
      </c>
      <c r="B49" s="76"/>
      <c r="C49" s="76"/>
      <c r="D49" s="76"/>
      <c r="E49" s="92">
        <f>E41+E48</f>
        <v>264000</v>
      </c>
      <c r="F49" s="92">
        <f t="shared" ref="F49:K49" si="18">F41+F48</f>
        <v>274000</v>
      </c>
      <c r="G49" s="92">
        <f t="shared" si="18"/>
        <v>284000</v>
      </c>
      <c r="H49" s="92">
        <f t="shared" si="18"/>
        <v>284000</v>
      </c>
      <c r="I49" s="92">
        <f t="shared" si="18"/>
        <v>284000</v>
      </c>
      <c r="J49" s="92">
        <f t="shared" si="18"/>
        <v>284000</v>
      </c>
      <c r="K49" s="92">
        <f t="shared" si="18"/>
        <v>284000</v>
      </c>
    </row>
    <row r="50" spans="1:12">
      <c r="A50" s="74"/>
      <c r="B50" s="74"/>
      <c r="C50" s="74"/>
      <c r="D50" s="74"/>
      <c r="E50" s="75"/>
      <c r="F50" s="75"/>
      <c r="G50" s="75"/>
      <c r="H50" s="75"/>
      <c r="I50" s="75"/>
      <c r="J50" s="75"/>
      <c r="K50" s="75"/>
    </row>
    <row r="51" spans="1:12">
      <c r="A51" s="76" t="s">
        <v>310</v>
      </c>
      <c r="B51" s="76"/>
      <c r="C51" s="76"/>
      <c r="D51" s="76"/>
      <c r="E51" s="92">
        <f t="shared" ref="E51:K51" si="19">E31-E49</f>
        <v>384000</v>
      </c>
      <c r="F51" s="92">
        <f>F31-F49</f>
        <v>410000</v>
      </c>
      <c r="G51" s="92">
        <f t="shared" si="19"/>
        <v>436000</v>
      </c>
      <c r="H51" s="92">
        <f t="shared" si="19"/>
        <v>436000</v>
      </c>
      <c r="I51" s="92">
        <f t="shared" si="19"/>
        <v>436000</v>
      </c>
      <c r="J51" s="92">
        <f t="shared" si="19"/>
        <v>436000</v>
      </c>
      <c r="K51" s="92">
        <f t="shared" si="19"/>
        <v>436000</v>
      </c>
    </row>
    <row r="52" spans="1:12">
      <c r="A52" s="93"/>
      <c r="B52" s="93"/>
      <c r="C52" s="93"/>
      <c r="D52" s="93"/>
      <c r="E52" s="244"/>
      <c r="F52" s="244"/>
      <c r="G52" s="244"/>
      <c r="H52" s="244"/>
      <c r="I52" s="244"/>
      <c r="J52" s="244"/>
      <c r="K52" s="244"/>
    </row>
    <row r="53" spans="1:12">
      <c r="A53" s="73"/>
      <c r="B53" s="73"/>
      <c r="C53" s="93"/>
      <c r="D53" s="93"/>
      <c r="E53" s="244"/>
      <c r="F53" s="244"/>
      <c r="G53" s="244"/>
      <c r="H53" s="244"/>
      <c r="I53" s="244"/>
      <c r="J53" s="244"/>
      <c r="K53" s="244"/>
    </row>
    <row r="54" spans="1:12">
      <c r="A54" s="370" t="s">
        <v>419</v>
      </c>
      <c r="B54" s="370"/>
      <c r="C54" s="370"/>
      <c r="D54" s="370"/>
      <c r="E54" s="370"/>
      <c r="F54" s="370"/>
      <c r="G54" s="370"/>
      <c r="H54" s="370"/>
      <c r="I54" s="370"/>
      <c r="J54" s="370"/>
      <c r="K54" s="370"/>
      <c r="L54" s="370"/>
    </row>
    <row r="57" spans="1:12">
      <c r="A57" t="s">
        <v>537</v>
      </c>
    </row>
    <row r="58" spans="1:12">
      <c r="A58">
        <v>1</v>
      </c>
      <c r="B58" t="s">
        <v>550</v>
      </c>
    </row>
    <row r="59" spans="1:12">
      <c r="A59">
        <v>2</v>
      </c>
      <c r="B59" t="s">
        <v>551</v>
      </c>
    </row>
    <row r="60" spans="1:12">
      <c r="A60">
        <v>3</v>
      </c>
      <c r="B60" s="73" t="s">
        <v>601</v>
      </c>
    </row>
  </sheetData>
  <mergeCells count="4">
    <mergeCell ref="A17:K17"/>
    <mergeCell ref="A3:L3"/>
    <mergeCell ref="A54:L54"/>
    <mergeCell ref="A4:L4"/>
  </mergeCells>
  <pageMargins left="0.7" right="0.7" top="0.75" bottom="0.75" header="0.3" footer="0.3"/>
  <pageSetup paperSize="9" scale="45" orientation="portrait" r:id="rId1"/>
</worksheet>
</file>

<file path=xl/worksheets/sheet17.xml><?xml version="1.0" encoding="utf-8"?>
<worksheet xmlns="http://schemas.openxmlformats.org/spreadsheetml/2006/main" xmlns:r="http://schemas.openxmlformats.org/officeDocument/2006/relationships">
  <dimension ref="A2:W285"/>
  <sheetViews>
    <sheetView view="pageBreakPreview" topLeftCell="A244" zoomScale="80" zoomScaleSheetLayoutView="80" workbookViewId="0">
      <selection activeCell="D257" sqref="D257"/>
    </sheetView>
  </sheetViews>
  <sheetFormatPr defaultRowHeight="15"/>
  <cols>
    <col min="1" max="1" width="41.140625" bestFit="1" customWidth="1"/>
    <col min="2" max="2" width="9.140625" customWidth="1"/>
    <col min="3" max="3" width="11.285156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368" t="s">
        <v>594</v>
      </c>
      <c r="B2" s="368"/>
      <c r="C2" s="368"/>
      <c r="D2" s="368"/>
      <c r="E2" s="368"/>
      <c r="F2" s="368"/>
      <c r="G2" s="368"/>
      <c r="H2" s="368"/>
      <c r="I2" s="368"/>
    </row>
    <row r="4" spans="1:9">
      <c r="A4" s="73"/>
      <c r="B4" s="73"/>
      <c r="C4" s="73"/>
      <c r="D4" s="73"/>
      <c r="E4" s="73"/>
      <c r="F4" s="73"/>
      <c r="G4" s="73"/>
      <c r="H4" s="73"/>
      <c r="I4" s="73"/>
    </row>
    <row r="5" spans="1:9">
      <c r="A5" s="73"/>
      <c r="B5" s="73"/>
      <c r="C5" s="73"/>
      <c r="D5" s="73"/>
      <c r="E5" s="73"/>
      <c r="F5" s="73"/>
      <c r="G5" s="73"/>
      <c r="H5" s="73"/>
      <c r="I5" s="73"/>
    </row>
    <row r="6" spans="1:9">
      <c r="A6" s="125" t="s">
        <v>128</v>
      </c>
      <c r="B6" s="125"/>
      <c r="C6" s="97" t="s">
        <v>2</v>
      </c>
      <c r="D6" s="97" t="s">
        <v>3</v>
      </c>
      <c r="E6" s="97" t="s">
        <v>4</v>
      </c>
      <c r="F6" s="97" t="s">
        <v>5</v>
      </c>
      <c r="G6" s="97" t="s">
        <v>6</v>
      </c>
      <c r="H6" s="97" t="s">
        <v>168</v>
      </c>
      <c r="I6" s="97" t="s">
        <v>167</v>
      </c>
    </row>
    <row r="7" spans="1:9">
      <c r="A7" s="76" t="s">
        <v>553</v>
      </c>
      <c r="B7" s="74"/>
      <c r="C7" s="74"/>
      <c r="D7" s="74"/>
      <c r="E7" s="74"/>
      <c r="F7" s="74"/>
      <c r="G7" s="74"/>
      <c r="H7" s="74"/>
      <c r="I7" s="74"/>
    </row>
    <row r="8" spans="1:9">
      <c r="A8" s="76" t="s">
        <v>177</v>
      </c>
      <c r="B8" s="172"/>
      <c r="C8" s="227"/>
      <c r="D8" s="227"/>
      <c r="E8" s="227"/>
      <c r="F8" s="227"/>
      <c r="G8" s="227"/>
      <c r="H8" s="227"/>
      <c r="I8" s="227"/>
    </row>
    <row r="9" spans="1:9">
      <c r="A9" s="74" t="str">
        <f>'10.Grain Production details'!A92</f>
        <v>Soybean</v>
      </c>
      <c r="B9" s="172"/>
      <c r="C9" s="227">
        <f>'10.Grain Production details'!B92</f>
        <v>0</v>
      </c>
      <c r="D9" s="227">
        <f>'10.Grain Production details'!C92</f>
        <v>0</v>
      </c>
      <c r="E9" s="227">
        <f>'10.Grain Production details'!D92</f>
        <v>0</v>
      </c>
      <c r="F9" s="227">
        <f>'10.Grain Production details'!E92</f>
        <v>0</v>
      </c>
      <c r="G9" s="227">
        <f>'10.Grain Production details'!F92</f>
        <v>0</v>
      </c>
      <c r="H9" s="227">
        <f>'10.Grain Production details'!G92</f>
        <v>0</v>
      </c>
      <c r="I9" s="227">
        <f>'10.Grain Production details'!H92</f>
        <v>0</v>
      </c>
    </row>
    <row r="10" spans="1:9">
      <c r="A10" s="74" t="str">
        <f>'10.Grain Production details'!A93</f>
        <v>Red Gram/Tur</v>
      </c>
      <c r="B10" s="172"/>
      <c r="C10" s="227">
        <f>'10.Grain Production details'!B93</f>
        <v>985.4</v>
      </c>
      <c r="D10" s="227">
        <f>'10.Grain Production details'!C93</f>
        <v>1061.2</v>
      </c>
      <c r="E10" s="227">
        <f>'10.Grain Production details'!D93</f>
        <v>1137.0000000000002</v>
      </c>
      <c r="F10" s="227">
        <f>'10.Grain Production details'!E93</f>
        <v>1212.8000000000002</v>
      </c>
      <c r="G10" s="227">
        <f>'10.Grain Production details'!F93</f>
        <v>1288.6000000000004</v>
      </c>
      <c r="H10" s="227">
        <f>'10.Grain Production details'!G93</f>
        <v>1364.4000000000003</v>
      </c>
      <c r="I10" s="227">
        <f>'10.Grain Production details'!H93</f>
        <v>1440.2000000000005</v>
      </c>
    </row>
    <row r="11" spans="1:9">
      <c r="A11" s="74" t="str">
        <f>'10.Grain Production details'!A94</f>
        <v>Paddy/Rice</v>
      </c>
      <c r="B11" s="172"/>
      <c r="C11" s="227">
        <f>'10.Grain Production details'!B94</f>
        <v>0</v>
      </c>
      <c r="D11" s="227">
        <f>'10.Grain Production details'!C94</f>
        <v>0</v>
      </c>
      <c r="E11" s="227">
        <f>'10.Grain Production details'!D94</f>
        <v>0</v>
      </c>
      <c r="F11" s="227">
        <f>'10.Grain Production details'!E94</f>
        <v>0</v>
      </c>
      <c r="G11" s="227">
        <f>'10.Grain Production details'!F94</f>
        <v>0</v>
      </c>
      <c r="H11" s="227">
        <f>'10.Grain Production details'!G94</f>
        <v>0</v>
      </c>
      <c r="I11" s="227">
        <f>'10.Grain Production details'!H94</f>
        <v>0</v>
      </c>
    </row>
    <row r="12" spans="1:9">
      <c r="A12" s="74" t="str">
        <f>'10.Grain Production details'!A95</f>
        <v>Green Gram/ Moong</v>
      </c>
      <c r="B12" s="172"/>
      <c r="C12" s="227">
        <f>'10.Grain Production details'!B95</f>
        <v>443.42999999999995</v>
      </c>
      <c r="D12" s="227">
        <f>'10.Grain Production details'!C95</f>
        <v>477.54</v>
      </c>
      <c r="E12" s="227">
        <f>'10.Grain Production details'!D95</f>
        <v>511.65000000000003</v>
      </c>
      <c r="F12" s="227">
        <f>'10.Grain Production details'!E95</f>
        <v>545.7600000000001</v>
      </c>
      <c r="G12" s="227">
        <f>'10.Grain Production details'!F95</f>
        <v>579.87000000000012</v>
      </c>
      <c r="H12" s="227">
        <f>'10.Grain Production details'!G95</f>
        <v>613.98000000000013</v>
      </c>
      <c r="I12" s="227">
        <f>'10.Grain Production details'!H95</f>
        <v>648.09000000000015</v>
      </c>
    </row>
    <row r="13" spans="1:9">
      <c r="A13" s="74" t="str">
        <f>'10.Grain Production details'!A96</f>
        <v>Maize</v>
      </c>
      <c r="B13" s="172"/>
      <c r="C13" s="227">
        <f>'10.Grain Production details'!B96</f>
        <v>0</v>
      </c>
      <c r="D13" s="227">
        <f>'10.Grain Production details'!C96</f>
        <v>0</v>
      </c>
      <c r="E13" s="227">
        <f>'10.Grain Production details'!D96</f>
        <v>0</v>
      </c>
      <c r="F13" s="227">
        <f>'10.Grain Production details'!E96</f>
        <v>0</v>
      </c>
      <c r="G13" s="227">
        <f>'10.Grain Production details'!F96</f>
        <v>0</v>
      </c>
      <c r="H13" s="227">
        <f>'10.Grain Production details'!G96</f>
        <v>0</v>
      </c>
      <c r="I13" s="227">
        <f>'10.Grain Production details'!H96</f>
        <v>0</v>
      </c>
    </row>
    <row r="14" spans="1:9">
      <c r="A14" s="74" t="str">
        <f>'10.Grain Production details'!A97</f>
        <v>Black Gram/Udid</v>
      </c>
      <c r="B14" s="172"/>
      <c r="C14" s="227">
        <f>'10.Grain Production details'!B97</f>
        <v>246.35</v>
      </c>
      <c r="D14" s="227">
        <f>'10.Grain Production details'!C97</f>
        <v>265.3</v>
      </c>
      <c r="E14" s="227">
        <f>'10.Grain Production details'!D97</f>
        <v>284.25000000000006</v>
      </c>
      <c r="F14" s="227">
        <f>'10.Grain Production details'!E97</f>
        <v>303.20000000000005</v>
      </c>
      <c r="G14" s="227">
        <f>'10.Grain Production details'!F97</f>
        <v>322.15000000000009</v>
      </c>
      <c r="H14" s="227">
        <f>'10.Grain Production details'!G97</f>
        <v>341.10000000000008</v>
      </c>
      <c r="I14" s="227">
        <f>'10.Grain Production details'!H97</f>
        <v>360.05000000000013</v>
      </c>
    </row>
    <row r="15" spans="1:9">
      <c r="A15" s="74" t="str">
        <f>'10.Grain Production details'!A98</f>
        <v>Bajra</v>
      </c>
      <c r="B15" s="172"/>
      <c r="C15" s="227">
        <f>'10.Grain Production details'!B98</f>
        <v>0</v>
      </c>
      <c r="D15" s="227">
        <f>'10.Grain Production details'!C98</f>
        <v>0</v>
      </c>
      <c r="E15" s="227">
        <f>'10.Grain Production details'!D98</f>
        <v>0</v>
      </c>
      <c r="F15" s="227">
        <f>'10.Grain Production details'!E98</f>
        <v>0</v>
      </c>
      <c r="G15" s="227">
        <f>'10.Grain Production details'!F98</f>
        <v>0</v>
      </c>
      <c r="H15" s="227">
        <f>'10.Grain Production details'!G98</f>
        <v>0</v>
      </c>
      <c r="I15" s="227">
        <f>'10.Grain Production details'!H98</f>
        <v>0</v>
      </c>
    </row>
    <row r="16" spans="1:9">
      <c r="A16" s="74" t="str">
        <f>'10.Grain Production details'!A99</f>
        <v>Jawar</v>
      </c>
      <c r="B16" s="172"/>
      <c r="C16" s="227">
        <f>'10.Grain Production details'!B99</f>
        <v>0</v>
      </c>
      <c r="D16" s="227">
        <f>'10.Grain Production details'!C99</f>
        <v>0</v>
      </c>
      <c r="E16" s="227">
        <f>'10.Grain Production details'!D99</f>
        <v>0</v>
      </c>
      <c r="F16" s="227">
        <f>'10.Grain Production details'!E99</f>
        <v>0</v>
      </c>
      <c r="G16" s="227">
        <f>'10.Grain Production details'!F99</f>
        <v>0</v>
      </c>
      <c r="H16" s="227">
        <f>'10.Grain Production details'!G99</f>
        <v>0</v>
      </c>
      <c r="I16" s="227">
        <f>'10.Grain Production details'!H99</f>
        <v>0</v>
      </c>
    </row>
    <row r="17" spans="1:9">
      <c r="A17" s="76" t="s">
        <v>181</v>
      </c>
      <c r="B17" s="172"/>
      <c r="C17" s="227"/>
      <c r="D17" s="227"/>
      <c r="E17" s="227"/>
      <c r="F17" s="227"/>
      <c r="G17" s="227"/>
      <c r="H17" s="227"/>
      <c r="I17" s="227"/>
    </row>
    <row r="18" spans="1:9">
      <c r="A18" s="74" t="str">
        <f>'10.Grain Production details'!A101</f>
        <v>Wheat</v>
      </c>
      <c r="B18" s="172"/>
      <c r="C18" s="227">
        <f>'10.Grain Production details'!B101</f>
        <v>147.81</v>
      </c>
      <c r="D18" s="227">
        <f>'10.Grain Production details'!C101</f>
        <v>159.18</v>
      </c>
      <c r="E18" s="227">
        <f>'10.Grain Production details'!D101</f>
        <v>170.55</v>
      </c>
      <c r="F18" s="227">
        <f>'10.Grain Production details'!E101</f>
        <v>181.92000000000002</v>
      </c>
      <c r="G18" s="227">
        <f>'10.Grain Production details'!F101</f>
        <v>193.29000000000002</v>
      </c>
      <c r="H18" s="227">
        <f>'10.Grain Production details'!G101</f>
        <v>204.66000000000003</v>
      </c>
      <c r="I18" s="227">
        <f>'10.Grain Production details'!H101</f>
        <v>216.03000000000006</v>
      </c>
    </row>
    <row r="19" spans="1:9">
      <c r="A19" s="74" t="str">
        <f>'10.Grain Production details'!A102</f>
        <v>Bengal Gram/Channa</v>
      </c>
      <c r="B19" s="172"/>
      <c r="C19" s="227">
        <f>'10.Grain Production details'!B102</f>
        <v>332.57250000000005</v>
      </c>
      <c r="D19" s="227">
        <f>'10.Grain Production details'!C102</f>
        <v>358.15500000000003</v>
      </c>
      <c r="E19" s="227">
        <f>'10.Grain Production details'!D102</f>
        <v>383.73750000000001</v>
      </c>
      <c r="F19" s="227">
        <f>'10.Grain Production details'!E102</f>
        <v>409.32</v>
      </c>
      <c r="G19" s="227">
        <f>'10.Grain Production details'!F102</f>
        <v>434.90250000000003</v>
      </c>
      <c r="H19" s="227">
        <f>'10.Grain Production details'!G102</f>
        <v>460.48500000000007</v>
      </c>
      <c r="I19" s="227">
        <f>'10.Grain Production details'!H102</f>
        <v>486.06750000000005</v>
      </c>
    </row>
    <row r="20" spans="1:9">
      <c r="A20" s="74" t="str">
        <f>'10.Grain Production details'!A103</f>
        <v>Jawar</v>
      </c>
      <c r="B20" s="172"/>
      <c r="C20" s="227">
        <f>'10.Grain Production details'!B103</f>
        <v>0</v>
      </c>
      <c r="D20" s="227">
        <f>'10.Grain Production details'!C103</f>
        <v>0</v>
      </c>
      <c r="E20" s="227">
        <f>'10.Grain Production details'!D103</f>
        <v>0</v>
      </c>
      <c r="F20" s="227">
        <f>'10.Grain Production details'!E103</f>
        <v>0</v>
      </c>
      <c r="G20" s="227">
        <f>'10.Grain Production details'!F103</f>
        <v>0</v>
      </c>
      <c r="H20" s="227">
        <f>'10.Grain Production details'!G103</f>
        <v>0</v>
      </c>
      <c r="I20" s="227">
        <f>'10.Grain Production details'!H103</f>
        <v>0</v>
      </c>
    </row>
    <row r="21" spans="1:9">
      <c r="A21" s="74" t="str">
        <f>'10.Grain Production details'!A104</f>
        <v>Maize</v>
      </c>
      <c r="B21" s="172"/>
      <c r="C21" s="227">
        <f>'10.Grain Production details'!B104</f>
        <v>0</v>
      </c>
      <c r="D21" s="227">
        <f>'10.Grain Production details'!C104</f>
        <v>0</v>
      </c>
      <c r="E21" s="227">
        <f>'10.Grain Production details'!D104</f>
        <v>0</v>
      </c>
      <c r="F21" s="227">
        <f>'10.Grain Production details'!E104</f>
        <v>0</v>
      </c>
      <c r="G21" s="227">
        <f>'10.Grain Production details'!F104</f>
        <v>0</v>
      </c>
      <c r="H21" s="227">
        <f>'10.Grain Production details'!G104</f>
        <v>0</v>
      </c>
      <c r="I21" s="227">
        <f>'10.Grain Production details'!H104</f>
        <v>0</v>
      </c>
    </row>
    <row r="22" spans="1:9">
      <c r="A22" s="74" t="str">
        <f>'10.Grain Production details'!A105</f>
        <v>Safflower</v>
      </c>
      <c r="B22" s="172"/>
      <c r="C22" s="227">
        <f>'10.Grain Production details'!B105</f>
        <v>0</v>
      </c>
      <c r="D22" s="227">
        <f>'10.Grain Production details'!C105</f>
        <v>0</v>
      </c>
      <c r="E22" s="227">
        <f>'10.Grain Production details'!D105</f>
        <v>0</v>
      </c>
      <c r="F22" s="227">
        <f>'10.Grain Production details'!E105</f>
        <v>0</v>
      </c>
      <c r="G22" s="227">
        <f>'10.Grain Production details'!F105</f>
        <v>0</v>
      </c>
      <c r="H22" s="227">
        <f>'10.Grain Production details'!G105</f>
        <v>0</v>
      </c>
      <c r="I22" s="227">
        <f>'10.Grain Production details'!H105</f>
        <v>0</v>
      </c>
    </row>
    <row r="23" spans="1:9">
      <c r="A23" s="74" t="str">
        <f>'10.Grain Production details'!A106</f>
        <v>Groundnut</v>
      </c>
      <c r="B23" s="172"/>
      <c r="C23" s="227">
        <f>'10.Grain Production details'!B106</f>
        <v>258.66750000000002</v>
      </c>
      <c r="D23" s="227">
        <f>'10.Grain Production details'!C106</f>
        <v>278.565</v>
      </c>
      <c r="E23" s="227">
        <f>'10.Grain Production details'!D106</f>
        <v>298.46249999999998</v>
      </c>
      <c r="F23" s="227">
        <f>'10.Grain Production details'!E106</f>
        <v>318.36</v>
      </c>
      <c r="G23" s="227">
        <f>'10.Grain Production details'!F106</f>
        <v>338.25749999999999</v>
      </c>
      <c r="H23" s="227">
        <f>'10.Grain Production details'!G106</f>
        <v>358.15499999999997</v>
      </c>
      <c r="I23" s="227">
        <f>'10.Grain Production details'!H106</f>
        <v>378.05250000000001</v>
      </c>
    </row>
    <row r="24" spans="1:9">
      <c r="A24" s="74">
        <f>'10.Grain Production details'!A107</f>
        <v>0</v>
      </c>
      <c r="B24" s="172"/>
      <c r="C24" s="227">
        <f>'10.Grain Production details'!B107</f>
        <v>0</v>
      </c>
      <c r="D24" s="227">
        <f>'10.Grain Production details'!C107</f>
        <v>0</v>
      </c>
      <c r="E24" s="227">
        <f>'10.Grain Production details'!D107</f>
        <v>0</v>
      </c>
      <c r="F24" s="227">
        <f>'10.Grain Production details'!E107</f>
        <v>0</v>
      </c>
      <c r="G24" s="227">
        <f>'10.Grain Production details'!F107</f>
        <v>0</v>
      </c>
      <c r="H24" s="227">
        <f>'10.Grain Production details'!G107</f>
        <v>0</v>
      </c>
      <c r="I24" s="227">
        <f>'10.Grain Production details'!H107</f>
        <v>0</v>
      </c>
    </row>
    <row r="25" spans="1:9">
      <c r="A25" s="74">
        <f>'10.Grain Production details'!A108</f>
        <v>0</v>
      </c>
      <c r="B25" s="172"/>
      <c r="C25" s="227">
        <f>'10.Grain Production details'!B108</f>
        <v>0</v>
      </c>
      <c r="D25" s="227">
        <f>'10.Grain Production details'!C108</f>
        <v>0</v>
      </c>
      <c r="E25" s="227">
        <f>'10.Grain Production details'!D108</f>
        <v>0</v>
      </c>
      <c r="F25" s="227">
        <f>'10.Grain Production details'!E108</f>
        <v>0</v>
      </c>
      <c r="G25" s="227">
        <f>'10.Grain Production details'!F108</f>
        <v>0</v>
      </c>
      <c r="H25" s="227">
        <f>'10.Grain Production details'!G108</f>
        <v>0</v>
      </c>
      <c r="I25" s="227">
        <f>'10.Grain Production details'!H108</f>
        <v>0</v>
      </c>
    </row>
    <row r="26" spans="1:9">
      <c r="A26" s="76" t="str">
        <f>'10.Grain Production details'!A33</f>
        <v>Summer</v>
      </c>
      <c r="B26" s="172"/>
      <c r="C26" s="227"/>
      <c r="D26" s="227"/>
      <c r="E26" s="227"/>
      <c r="F26" s="227"/>
      <c r="G26" s="227"/>
      <c r="H26" s="227"/>
      <c r="I26" s="227"/>
    </row>
    <row r="27" spans="1:9">
      <c r="A27" s="74" t="str">
        <f>'10.Grain Production details'!A109</f>
        <v>Groundnut</v>
      </c>
      <c r="B27" s="172"/>
      <c r="C27" s="227">
        <f>'10.Grain Production details'!B110</f>
        <v>0</v>
      </c>
      <c r="D27" s="227">
        <f>'10.Grain Production details'!C110</f>
        <v>0</v>
      </c>
      <c r="E27" s="227">
        <f>'10.Grain Production details'!D110</f>
        <v>0</v>
      </c>
      <c r="F27" s="227">
        <f>'10.Grain Production details'!E110</f>
        <v>0</v>
      </c>
      <c r="G27" s="227">
        <f>'10.Grain Production details'!F110</f>
        <v>0</v>
      </c>
      <c r="H27" s="227">
        <f>'10.Grain Production details'!G110</f>
        <v>0</v>
      </c>
      <c r="I27" s="227">
        <f>'10.Grain Production details'!H110</f>
        <v>0</v>
      </c>
    </row>
    <row r="28" spans="1:9">
      <c r="A28" s="74">
        <f>'10.Grain Production details'!A110</f>
        <v>0</v>
      </c>
      <c r="B28" s="172"/>
      <c r="C28" s="227">
        <f>'10.Grain Production details'!B111</f>
        <v>0</v>
      </c>
      <c r="D28" s="227">
        <f>'10.Grain Production details'!C111</f>
        <v>0</v>
      </c>
      <c r="E28" s="227">
        <f>'10.Grain Production details'!D111</f>
        <v>0</v>
      </c>
      <c r="F28" s="227">
        <f>'10.Grain Production details'!E111</f>
        <v>0</v>
      </c>
      <c r="G28" s="227">
        <f>'10.Grain Production details'!F111</f>
        <v>0</v>
      </c>
      <c r="H28" s="227">
        <f>'10.Grain Production details'!G111</f>
        <v>0</v>
      </c>
      <c r="I28" s="227">
        <f>'10.Grain Production details'!H111</f>
        <v>0</v>
      </c>
    </row>
    <row r="29" spans="1:9">
      <c r="A29" s="74">
        <f>'10.Grain Production details'!A111</f>
        <v>0</v>
      </c>
      <c r="B29" s="172"/>
      <c r="C29" s="227">
        <f>'10.Grain Production details'!B112</f>
        <v>0</v>
      </c>
      <c r="D29" s="227">
        <f>'10.Grain Production details'!C112</f>
        <v>0</v>
      </c>
      <c r="E29" s="227">
        <f>'10.Grain Production details'!D112</f>
        <v>0</v>
      </c>
      <c r="F29" s="227">
        <f>'10.Grain Production details'!E112</f>
        <v>0</v>
      </c>
      <c r="G29" s="227">
        <f>'10.Grain Production details'!F112</f>
        <v>0</v>
      </c>
      <c r="H29" s="227">
        <f>'10.Grain Production details'!G112</f>
        <v>0</v>
      </c>
      <c r="I29" s="227">
        <f>'10.Grain Production details'!H112</f>
        <v>0</v>
      </c>
    </row>
    <row r="30" spans="1:9">
      <c r="A30" s="74">
        <f>'10.Grain Production details'!A112</f>
        <v>0</v>
      </c>
      <c r="B30" s="172"/>
      <c r="C30" s="227">
        <f>'10.Grain Production details'!B113</f>
        <v>0</v>
      </c>
      <c r="D30" s="227">
        <f>'10.Grain Production details'!C113</f>
        <v>0</v>
      </c>
      <c r="E30" s="227">
        <f>'10.Grain Production details'!D113</f>
        <v>0</v>
      </c>
      <c r="F30" s="227">
        <f>'10.Grain Production details'!E113</f>
        <v>0</v>
      </c>
      <c r="G30" s="227">
        <f>'10.Grain Production details'!F113</f>
        <v>0</v>
      </c>
      <c r="H30" s="227">
        <f>'10.Grain Production details'!G113</f>
        <v>0</v>
      </c>
      <c r="I30" s="227">
        <f>'10.Grain Production details'!H113</f>
        <v>0</v>
      </c>
    </row>
    <row r="31" spans="1:9">
      <c r="A31" s="74">
        <f>'10.Grain Production details'!A113</f>
        <v>0</v>
      </c>
      <c r="B31" s="172"/>
      <c r="C31" s="227">
        <f>'10.Grain Production details'!C114</f>
        <v>0</v>
      </c>
      <c r="D31" s="227">
        <f>'10.Grain Production details'!D114</f>
        <v>0</v>
      </c>
      <c r="E31" s="227">
        <f>'10.Grain Production details'!E114</f>
        <v>0</v>
      </c>
      <c r="F31" s="227">
        <f>'10.Grain Production details'!F114</f>
        <v>0</v>
      </c>
      <c r="G31" s="227">
        <f>'10.Grain Production details'!G114</f>
        <v>0</v>
      </c>
      <c r="H31" s="227">
        <f>'10.Grain Production details'!H114</f>
        <v>0</v>
      </c>
      <c r="I31" s="227">
        <f>'10.Grain Production details'!I114</f>
        <v>0</v>
      </c>
    </row>
    <row r="32" spans="1:9">
      <c r="A32" s="76" t="str">
        <f>'11.F&amp;V Crop Production details'!A1:H1</f>
        <v>Fruit  &amp; Vegetables Crop Production Details</v>
      </c>
      <c r="B32" s="172"/>
      <c r="C32" s="227"/>
      <c r="D32" s="227"/>
      <c r="E32" s="227"/>
      <c r="F32" s="227"/>
      <c r="G32" s="227"/>
      <c r="H32" s="227"/>
      <c r="I32" s="227"/>
    </row>
    <row r="33" spans="1:9">
      <c r="A33" s="74" t="str">
        <f>'11.F&amp;V Crop Production details'!A102</f>
        <v>Onion</v>
      </c>
      <c r="B33" s="172"/>
      <c r="C33" s="227">
        <f>'11.F&amp;V Crop Production details'!B102</f>
        <v>0</v>
      </c>
      <c r="D33" s="227">
        <f>'11.F&amp;V Crop Production details'!C102</f>
        <v>0</v>
      </c>
      <c r="E33" s="227">
        <f>'11.F&amp;V Crop Production details'!D102</f>
        <v>0</v>
      </c>
      <c r="F33" s="227">
        <f>'11.F&amp;V Crop Production details'!E102</f>
        <v>0</v>
      </c>
      <c r="G33" s="227">
        <f>'11.F&amp;V Crop Production details'!F102</f>
        <v>0</v>
      </c>
      <c r="H33" s="227">
        <f>'11.F&amp;V Crop Production details'!G102</f>
        <v>0</v>
      </c>
      <c r="I33" s="227">
        <f>'11.F&amp;V Crop Production details'!H102</f>
        <v>0</v>
      </c>
    </row>
    <row r="34" spans="1:9">
      <c r="A34" s="74" t="str">
        <f>'11.F&amp;V Crop Production details'!A103</f>
        <v>Tomato</v>
      </c>
      <c r="B34" s="172"/>
      <c r="C34" s="227">
        <f>'11.F&amp;V Crop Production details'!B103</f>
        <v>0</v>
      </c>
      <c r="D34" s="227">
        <f>'11.F&amp;V Crop Production details'!C103</f>
        <v>0</v>
      </c>
      <c r="E34" s="227">
        <f>'11.F&amp;V Crop Production details'!D103</f>
        <v>0</v>
      </c>
      <c r="F34" s="227">
        <f>'11.F&amp;V Crop Production details'!E103</f>
        <v>0</v>
      </c>
      <c r="G34" s="227">
        <f>'11.F&amp;V Crop Production details'!F103</f>
        <v>0</v>
      </c>
      <c r="H34" s="227">
        <f>'11.F&amp;V Crop Production details'!G103</f>
        <v>0</v>
      </c>
      <c r="I34" s="227">
        <f>'11.F&amp;V Crop Production details'!H103</f>
        <v>0</v>
      </c>
    </row>
    <row r="35" spans="1:9">
      <c r="A35" s="74" t="str">
        <f>'11.F&amp;V Crop Production details'!A104</f>
        <v>Okra</v>
      </c>
      <c r="B35" s="172"/>
      <c r="C35" s="227">
        <f>'11.F&amp;V Crop Production details'!B104</f>
        <v>0</v>
      </c>
      <c r="D35" s="227">
        <f>'11.F&amp;V Crop Production details'!C104</f>
        <v>0</v>
      </c>
      <c r="E35" s="227">
        <f>'11.F&amp;V Crop Production details'!D104</f>
        <v>0</v>
      </c>
      <c r="F35" s="227">
        <f>'11.F&amp;V Crop Production details'!E104</f>
        <v>0</v>
      </c>
      <c r="G35" s="227">
        <f>'11.F&amp;V Crop Production details'!F104</f>
        <v>0</v>
      </c>
      <c r="H35" s="227">
        <f>'11.F&amp;V Crop Production details'!G104</f>
        <v>0</v>
      </c>
      <c r="I35" s="227">
        <f>'11.F&amp;V Crop Production details'!H104</f>
        <v>0</v>
      </c>
    </row>
    <row r="36" spans="1:9">
      <c r="A36" s="74" t="str">
        <f>'11.F&amp;V Crop Production details'!A105</f>
        <v>Chilli</v>
      </c>
      <c r="B36" s="172"/>
      <c r="C36" s="227">
        <f>'11.F&amp;V Crop Production details'!B105</f>
        <v>0</v>
      </c>
      <c r="D36" s="227">
        <f>'11.F&amp;V Crop Production details'!C105</f>
        <v>0</v>
      </c>
      <c r="E36" s="227">
        <f>'11.F&amp;V Crop Production details'!D105</f>
        <v>0</v>
      </c>
      <c r="F36" s="227">
        <f>'11.F&amp;V Crop Production details'!E105</f>
        <v>0</v>
      </c>
      <c r="G36" s="227">
        <f>'11.F&amp;V Crop Production details'!F105</f>
        <v>0</v>
      </c>
      <c r="H36" s="227">
        <f>'11.F&amp;V Crop Production details'!G105</f>
        <v>0</v>
      </c>
      <c r="I36" s="227">
        <f>'11.F&amp;V Crop Production details'!H105</f>
        <v>0</v>
      </c>
    </row>
    <row r="37" spans="1:9">
      <c r="A37" s="74" t="str">
        <f>'11.F&amp;V Crop Production details'!A106</f>
        <v>Potato</v>
      </c>
      <c r="B37" s="172"/>
      <c r="C37" s="227">
        <f>'11.F&amp;V Crop Production details'!B106</f>
        <v>0</v>
      </c>
      <c r="D37" s="227">
        <f>'11.F&amp;V Crop Production details'!C106</f>
        <v>0</v>
      </c>
      <c r="E37" s="227">
        <f>'11.F&amp;V Crop Production details'!D106</f>
        <v>0</v>
      </c>
      <c r="F37" s="227">
        <f>'11.F&amp;V Crop Production details'!E106</f>
        <v>0</v>
      </c>
      <c r="G37" s="227">
        <f>'11.F&amp;V Crop Production details'!F106</f>
        <v>0</v>
      </c>
      <c r="H37" s="227">
        <f>'11.F&amp;V Crop Production details'!G106</f>
        <v>0</v>
      </c>
      <c r="I37" s="227">
        <f>'11.F&amp;V Crop Production details'!H106</f>
        <v>0</v>
      </c>
    </row>
    <row r="38" spans="1:9">
      <c r="A38" s="74">
        <f>'11.F&amp;V Crop Production details'!A107</f>
        <v>0</v>
      </c>
      <c r="B38" s="172"/>
      <c r="C38" s="227">
        <f>'11.F&amp;V Crop Production details'!B107</f>
        <v>0</v>
      </c>
      <c r="D38" s="227">
        <f>'11.F&amp;V Crop Production details'!C107</f>
        <v>0</v>
      </c>
      <c r="E38" s="227">
        <f>'11.F&amp;V Crop Production details'!D107</f>
        <v>0</v>
      </c>
      <c r="F38" s="227">
        <f>'11.F&amp;V Crop Production details'!E107</f>
        <v>0</v>
      </c>
      <c r="G38" s="227">
        <f>'11.F&amp;V Crop Production details'!F107</f>
        <v>0</v>
      </c>
      <c r="H38" s="227">
        <f>'11.F&amp;V Crop Production details'!G107</f>
        <v>0</v>
      </c>
      <c r="I38" s="227">
        <f>'11.F&amp;V Crop Production details'!H107</f>
        <v>0</v>
      </c>
    </row>
    <row r="39" spans="1:9">
      <c r="A39" s="74">
        <f>'11.F&amp;V Crop Production details'!A108</f>
        <v>0</v>
      </c>
      <c r="B39" s="172"/>
      <c r="C39" s="227">
        <f>'11.F&amp;V Crop Production details'!B108</f>
        <v>0</v>
      </c>
      <c r="D39" s="227">
        <f>'11.F&amp;V Crop Production details'!C108</f>
        <v>0</v>
      </c>
      <c r="E39" s="227">
        <f>'11.F&amp;V Crop Production details'!D108</f>
        <v>0</v>
      </c>
      <c r="F39" s="227">
        <f>'11.F&amp;V Crop Production details'!E108</f>
        <v>0</v>
      </c>
      <c r="G39" s="227">
        <f>'11.F&amp;V Crop Production details'!F108</f>
        <v>0</v>
      </c>
      <c r="H39" s="227">
        <f>'11.F&amp;V Crop Production details'!G108</f>
        <v>0</v>
      </c>
      <c r="I39" s="227">
        <f>'11.F&amp;V Crop Production details'!H108</f>
        <v>0</v>
      </c>
    </row>
    <row r="40" spans="1:9">
      <c r="A40" s="74">
        <f>'11.F&amp;V Crop Production details'!A109</f>
        <v>0</v>
      </c>
      <c r="B40" s="172"/>
      <c r="C40" s="227">
        <f>'11.F&amp;V Crop Production details'!B109</f>
        <v>0</v>
      </c>
      <c r="D40" s="227">
        <f>'11.F&amp;V Crop Production details'!C109</f>
        <v>0</v>
      </c>
      <c r="E40" s="227">
        <f>'11.F&amp;V Crop Production details'!D109</f>
        <v>0</v>
      </c>
      <c r="F40" s="227">
        <f>'11.F&amp;V Crop Production details'!E109</f>
        <v>0</v>
      </c>
      <c r="G40" s="227">
        <f>'11.F&amp;V Crop Production details'!F109</f>
        <v>0</v>
      </c>
      <c r="H40" s="227">
        <f>'11.F&amp;V Crop Production details'!G109</f>
        <v>0</v>
      </c>
      <c r="I40" s="227">
        <f>'11.F&amp;V Crop Production details'!H109</f>
        <v>0</v>
      </c>
    </row>
    <row r="41" spans="1:9">
      <c r="A41" s="74">
        <f>'11.F&amp;V Crop Production details'!A110</f>
        <v>0</v>
      </c>
      <c r="B41" s="172"/>
      <c r="C41" s="227">
        <f>'11.F&amp;V Crop Production details'!B110</f>
        <v>0</v>
      </c>
      <c r="D41" s="227">
        <f>'11.F&amp;V Crop Production details'!C110</f>
        <v>0</v>
      </c>
      <c r="E41" s="227">
        <f>'11.F&amp;V Crop Production details'!D110</f>
        <v>0</v>
      </c>
      <c r="F41" s="227">
        <f>'11.F&amp;V Crop Production details'!E110</f>
        <v>0</v>
      </c>
      <c r="G41" s="227">
        <f>'11.F&amp;V Crop Production details'!F110</f>
        <v>0</v>
      </c>
      <c r="H41" s="227">
        <f>'11.F&amp;V Crop Production details'!G110</f>
        <v>0</v>
      </c>
      <c r="I41" s="227">
        <f>'11.F&amp;V Crop Production details'!H110</f>
        <v>0</v>
      </c>
    </row>
    <row r="42" spans="1:9">
      <c r="A42" s="74" t="str">
        <f>'11.F&amp;V Crop Production details'!A111</f>
        <v>Onion</v>
      </c>
      <c r="B42" s="172"/>
      <c r="C42" s="227">
        <f>'11.F&amp;V Crop Production details'!B111</f>
        <v>0</v>
      </c>
      <c r="D42" s="227">
        <f>'11.F&amp;V Crop Production details'!C111</f>
        <v>0</v>
      </c>
      <c r="E42" s="227">
        <f>'11.F&amp;V Crop Production details'!D111</f>
        <v>0</v>
      </c>
      <c r="F42" s="227">
        <f>'11.F&amp;V Crop Production details'!E111</f>
        <v>0</v>
      </c>
      <c r="G42" s="227">
        <f>'11.F&amp;V Crop Production details'!F111</f>
        <v>0</v>
      </c>
      <c r="H42" s="227">
        <f>'11.F&amp;V Crop Production details'!G111</f>
        <v>0</v>
      </c>
      <c r="I42" s="227">
        <f>'11.F&amp;V Crop Production details'!H111</f>
        <v>0</v>
      </c>
    </row>
    <row r="43" spans="1:9">
      <c r="A43" s="74" t="str">
        <f>'11.F&amp;V Crop Production details'!A112</f>
        <v>Tomato</v>
      </c>
      <c r="B43" s="172"/>
      <c r="C43" s="227">
        <f>'11.F&amp;V Crop Production details'!B112</f>
        <v>0</v>
      </c>
      <c r="D43" s="227">
        <f>'11.F&amp;V Crop Production details'!C112</f>
        <v>0</v>
      </c>
      <c r="E43" s="227">
        <f>'11.F&amp;V Crop Production details'!D112</f>
        <v>0</v>
      </c>
      <c r="F43" s="227">
        <f>'11.F&amp;V Crop Production details'!E112</f>
        <v>0</v>
      </c>
      <c r="G43" s="227">
        <f>'11.F&amp;V Crop Production details'!F112</f>
        <v>0</v>
      </c>
      <c r="H43" s="227">
        <f>'11.F&amp;V Crop Production details'!G112</f>
        <v>0</v>
      </c>
      <c r="I43" s="227">
        <f>'11.F&amp;V Crop Production details'!H112</f>
        <v>0</v>
      </c>
    </row>
    <row r="44" spans="1:9">
      <c r="A44" s="74" t="str">
        <f>'11.F&amp;V Crop Production details'!A113</f>
        <v>Okra</v>
      </c>
      <c r="B44" s="172"/>
      <c r="C44" s="227">
        <f>'11.F&amp;V Crop Production details'!B113</f>
        <v>0</v>
      </c>
      <c r="D44" s="227">
        <f>'11.F&amp;V Crop Production details'!C113</f>
        <v>0</v>
      </c>
      <c r="E44" s="227">
        <f>'11.F&amp;V Crop Production details'!D113</f>
        <v>0</v>
      </c>
      <c r="F44" s="227">
        <f>'11.F&amp;V Crop Production details'!E113</f>
        <v>0</v>
      </c>
      <c r="G44" s="227">
        <f>'11.F&amp;V Crop Production details'!F113</f>
        <v>0</v>
      </c>
      <c r="H44" s="227">
        <f>'11.F&amp;V Crop Production details'!G113</f>
        <v>0</v>
      </c>
      <c r="I44" s="227">
        <f>'11.F&amp;V Crop Production details'!H113</f>
        <v>0</v>
      </c>
    </row>
    <row r="45" spans="1:9">
      <c r="A45" s="74" t="str">
        <f>'11.F&amp;V Crop Production details'!A114</f>
        <v>Chilli</v>
      </c>
      <c r="B45" s="172"/>
      <c r="C45" s="227">
        <f>'11.F&amp;V Crop Production details'!B114</f>
        <v>0</v>
      </c>
      <c r="D45" s="227">
        <f>'11.F&amp;V Crop Production details'!C114</f>
        <v>0</v>
      </c>
      <c r="E45" s="227">
        <f>'11.F&amp;V Crop Production details'!D114</f>
        <v>0</v>
      </c>
      <c r="F45" s="227">
        <f>'11.F&amp;V Crop Production details'!E114</f>
        <v>0</v>
      </c>
      <c r="G45" s="227">
        <f>'11.F&amp;V Crop Production details'!F114</f>
        <v>0</v>
      </c>
      <c r="H45" s="227">
        <f>'11.F&amp;V Crop Production details'!G114</f>
        <v>0</v>
      </c>
      <c r="I45" s="227">
        <f>'11.F&amp;V Crop Production details'!H114</f>
        <v>0</v>
      </c>
    </row>
    <row r="46" spans="1:9">
      <c r="A46" s="74" t="str">
        <f>'11.F&amp;V Crop Production details'!A115</f>
        <v>Brinjal</v>
      </c>
      <c r="B46" s="172"/>
      <c r="C46" s="227">
        <f>'11.F&amp;V Crop Production details'!B115</f>
        <v>0</v>
      </c>
      <c r="D46" s="227">
        <f>'11.F&amp;V Crop Production details'!C115</f>
        <v>0</v>
      </c>
      <c r="E46" s="227">
        <f>'11.F&amp;V Crop Production details'!D115</f>
        <v>0</v>
      </c>
      <c r="F46" s="227">
        <f>'11.F&amp;V Crop Production details'!E115</f>
        <v>0</v>
      </c>
      <c r="G46" s="227">
        <f>'11.F&amp;V Crop Production details'!F115</f>
        <v>0</v>
      </c>
      <c r="H46" s="227">
        <f>'11.F&amp;V Crop Production details'!G115</f>
        <v>0</v>
      </c>
      <c r="I46" s="227">
        <f>'11.F&amp;V Crop Production details'!H115</f>
        <v>0</v>
      </c>
    </row>
    <row r="47" spans="1:9">
      <c r="A47" s="74">
        <f>'11.F&amp;V Crop Production details'!A116</f>
        <v>0</v>
      </c>
      <c r="B47" s="172"/>
      <c r="C47" s="227">
        <f>'11.F&amp;V Crop Production details'!B116</f>
        <v>0</v>
      </c>
      <c r="D47" s="227">
        <f>'11.F&amp;V Crop Production details'!C116</f>
        <v>0</v>
      </c>
      <c r="E47" s="227">
        <f>'11.F&amp;V Crop Production details'!D116</f>
        <v>0</v>
      </c>
      <c r="F47" s="227">
        <f>'11.F&amp;V Crop Production details'!E116</f>
        <v>0</v>
      </c>
      <c r="G47" s="227">
        <f>'11.F&amp;V Crop Production details'!F116</f>
        <v>0</v>
      </c>
      <c r="H47" s="227">
        <f>'11.F&amp;V Crop Production details'!G116</f>
        <v>0</v>
      </c>
      <c r="I47" s="227">
        <f>'11.F&amp;V Crop Production details'!H116</f>
        <v>0</v>
      </c>
    </row>
    <row r="48" spans="1:9">
      <c r="A48" s="74">
        <f>'11.F&amp;V Crop Production details'!A117</f>
        <v>0</v>
      </c>
      <c r="B48" s="172"/>
      <c r="C48" s="227">
        <f>'11.F&amp;V Crop Production details'!B117</f>
        <v>0</v>
      </c>
      <c r="D48" s="227">
        <f>'11.F&amp;V Crop Production details'!C117</f>
        <v>0</v>
      </c>
      <c r="E48" s="227">
        <f>'11.F&amp;V Crop Production details'!D117</f>
        <v>0</v>
      </c>
      <c r="F48" s="227">
        <f>'11.F&amp;V Crop Production details'!E117</f>
        <v>0</v>
      </c>
      <c r="G48" s="227">
        <f>'11.F&amp;V Crop Production details'!F117</f>
        <v>0</v>
      </c>
      <c r="H48" s="227">
        <f>'11.F&amp;V Crop Production details'!G117</f>
        <v>0</v>
      </c>
      <c r="I48" s="227">
        <f>'11.F&amp;V Crop Production details'!H117</f>
        <v>0</v>
      </c>
    </row>
    <row r="49" spans="1:9">
      <c r="A49" s="74">
        <f>'11.F&amp;V Crop Production details'!A118</f>
        <v>0</v>
      </c>
      <c r="B49" s="172"/>
      <c r="C49" s="227">
        <f>'11.F&amp;V Crop Production details'!B118</f>
        <v>0</v>
      </c>
      <c r="D49" s="227">
        <f>'11.F&amp;V Crop Production details'!C118</f>
        <v>0</v>
      </c>
      <c r="E49" s="227">
        <f>'11.F&amp;V Crop Production details'!D118</f>
        <v>0</v>
      </c>
      <c r="F49" s="227">
        <f>'11.F&amp;V Crop Production details'!E118</f>
        <v>0</v>
      </c>
      <c r="G49" s="227">
        <f>'11.F&amp;V Crop Production details'!F118</f>
        <v>0</v>
      </c>
      <c r="H49" s="227">
        <f>'11.F&amp;V Crop Production details'!G118</f>
        <v>0</v>
      </c>
      <c r="I49" s="227">
        <f>'11.F&amp;V Crop Production details'!H118</f>
        <v>0</v>
      </c>
    </row>
    <row r="50" spans="1:9">
      <c r="A50" s="74">
        <f>'11.F&amp;V Crop Production details'!A119</f>
        <v>0</v>
      </c>
      <c r="B50" s="172"/>
      <c r="C50" s="227">
        <f>'11.F&amp;V Crop Production details'!B119</f>
        <v>0</v>
      </c>
      <c r="D50" s="227">
        <f>'11.F&amp;V Crop Production details'!C119</f>
        <v>0</v>
      </c>
      <c r="E50" s="227">
        <f>'11.F&amp;V Crop Production details'!D119</f>
        <v>0</v>
      </c>
      <c r="F50" s="227">
        <f>'11.F&amp;V Crop Production details'!E119</f>
        <v>0</v>
      </c>
      <c r="G50" s="227">
        <f>'11.F&amp;V Crop Production details'!F119</f>
        <v>0</v>
      </c>
      <c r="H50" s="227">
        <f>'11.F&amp;V Crop Production details'!G119</f>
        <v>0</v>
      </c>
      <c r="I50" s="227">
        <f>'11.F&amp;V Crop Production details'!H119</f>
        <v>0</v>
      </c>
    </row>
    <row r="51" spans="1:9">
      <c r="A51" s="74">
        <f>'11.F&amp;V Crop Production details'!A120</f>
        <v>0</v>
      </c>
      <c r="B51" s="172"/>
      <c r="C51" s="227">
        <f>'11.F&amp;V Crop Production details'!B120</f>
        <v>0</v>
      </c>
      <c r="D51" s="227">
        <f>'11.F&amp;V Crop Production details'!C120</f>
        <v>0</v>
      </c>
      <c r="E51" s="227">
        <f>'11.F&amp;V Crop Production details'!D120</f>
        <v>0</v>
      </c>
      <c r="F51" s="227">
        <f>'11.F&amp;V Crop Production details'!E120</f>
        <v>0</v>
      </c>
      <c r="G51" s="227">
        <f>'11.F&amp;V Crop Production details'!F120</f>
        <v>0</v>
      </c>
      <c r="H51" s="227">
        <f>'11.F&amp;V Crop Production details'!G120</f>
        <v>0</v>
      </c>
      <c r="I51" s="227">
        <f>'11.F&amp;V Crop Production details'!H120</f>
        <v>0</v>
      </c>
    </row>
    <row r="52" spans="1:9">
      <c r="A52" s="74">
        <f>'11.F&amp;V Crop Production details'!A121</f>
        <v>0</v>
      </c>
      <c r="B52" s="172"/>
      <c r="C52" s="227">
        <f>'11.F&amp;V Crop Production details'!B121</f>
        <v>0</v>
      </c>
      <c r="D52" s="227">
        <f>'11.F&amp;V Crop Production details'!C121</f>
        <v>0</v>
      </c>
      <c r="E52" s="227">
        <f>'11.F&amp;V Crop Production details'!D121</f>
        <v>0</v>
      </c>
      <c r="F52" s="227">
        <f>'11.F&amp;V Crop Production details'!E121</f>
        <v>0</v>
      </c>
      <c r="G52" s="227">
        <f>'11.F&amp;V Crop Production details'!F121</f>
        <v>0</v>
      </c>
      <c r="H52" s="227">
        <f>'11.F&amp;V Crop Production details'!G121</f>
        <v>0</v>
      </c>
      <c r="I52" s="227">
        <f>'11.F&amp;V Crop Production details'!H121</f>
        <v>0</v>
      </c>
    </row>
    <row r="53" spans="1:9">
      <c r="A53" s="74">
        <f>'11.F&amp;V Crop Production details'!A122</f>
        <v>0</v>
      </c>
      <c r="B53" s="172"/>
      <c r="C53" s="227">
        <f>'11.F&amp;V Crop Production details'!B122</f>
        <v>0</v>
      </c>
      <c r="D53" s="227">
        <f>'11.F&amp;V Crop Production details'!C122</f>
        <v>0</v>
      </c>
      <c r="E53" s="227">
        <f>'11.F&amp;V Crop Production details'!D122</f>
        <v>0</v>
      </c>
      <c r="F53" s="227">
        <f>'11.F&amp;V Crop Production details'!E122</f>
        <v>0</v>
      </c>
      <c r="G53" s="227">
        <f>'11.F&amp;V Crop Production details'!F122</f>
        <v>0</v>
      </c>
      <c r="H53" s="227">
        <f>'11.F&amp;V Crop Production details'!G122</f>
        <v>0</v>
      </c>
      <c r="I53" s="227">
        <f>'11.F&amp;V Crop Production details'!H122</f>
        <v>0</v>
      </c>
    </row>
    <row r="54" spans="1:9">
      <c r="A54" s="74" t="str">
        <f>'11.F&amp;V Crop Production details'!A123</f>
        <v>Pomegranate</v>
      </c>
      <c r="B54" s="172"/>
      <c r="C54" s="227">
        <f>'11.F&amp;V Crop Production details'!B123</f>
        <v>0</v>
      </c>
      <c r="D54" s="227">
        <f>'11.F&amp;V Crop Production details'!C123</f>
        <v>0</v>
      </c>
      <c r="E54" s="227">
        <f>'11.F&amp;V Crop Production details'!D123</f>
        <v>0</v>
      </c>
      <c r="F54" s="227">
        <f>'11.F&amp;V Crop Production details'!E123</f>
        <v>0</v>
      </c>
      <c r="G54" s="227">
        <f>'11.F&amp;V Crop Production details'!F123</f>
        <v>0</v>
      </c>
      <c r="H54" s="227">
        <f>'11.F&amp;V Crop Production details'!G123</f>
        <v>0</v>
      </c>
      <c r="I54" s="227">
        <f>'11.F&amp;V Crop Production details'!H123</f>
        <v>0</v>
      </c>
    </row>
    <row r="55" spans="1:9">
      <c r="A55" s="74" t="str">
        <f>'11.F&amp;V Crop Production details'!A124</f>
        <v>Custard Apple</v>
      </c>
      <c r="B55" s="172"/>
      <c r="C55" s="227">
        <f>'11.F&amp;V Crop Production details'!B124</f>
        <v>0</v>
      </c>
      <c r="D55" s="227">
        <f>'11.F&amp;V Crop Production details'!C124</f>
        <v>0</v>
      </c>
      <c r="E55" s="227">
        <f>'11.F&amp;V Crop Production details'!D124</f>
        <v>0</v>
      </c>
      <c r="F55" s="227">
        <f>'11.F&amp;V Crop Production details'!E124</f>
        <v>0</v>
      </c>
      <c r="G55" s="227">
        <f>'11.F&amp;V Crop Production details'!F124</f>
        <v>0</v>
      </c>
      <c r="H55" s="227">
        <f>'11.F&amp;V Crop Production details'!G124</f>
        <v>0</v>
      </c>
      <c r="I55" s="227">
        <f>'11.F&amp;V Crop Production details'!H124</f>
        <v>0</v>
      </c>
    </row>
    <row r="56" spans="1:9">
      <c r="A56" s="74" t="str">
        <f>'11.F&amp;V Crop Production details'!A125</f>
        <v>Guava</v>
      </c>
      <c r="B56" s="172"/>
      <c r="C56" s="227">
        <f>'11.F&amp;V Crop Production details'!B125</f>
        <v>0</v>
      </c>
      <c r="D56" s="227">
        <f>'11.F&amp;V Crop Production details'!C125</f>
        <v>0</v>
      </c>
      <c r="E56" s="227">
        <f>'11.F&amp;V Crop Production details'!D125</f>
        <v>0</v>
      </c>
      <c r="F56" s="227">
        <f>'11.F&amp;V Crop Production details'!E125</f>
        <v>0</v>
      </c>
      <c r="G56" s="227">
        <f>'11.F&amp;V Crop Production details'!F125</f>
        <v>0</v>
      </c>
      <c r="H56" s="227">
        <f>'11.F&amp;V Crop Production details'!G125</f>
        <v>0</v>
      </c>
      <c r="I56" s="227">
        <f>'11.F&amp;V Crop Production details'!H125</f>
        <v>0</v>
      </c>
    </row>
    <row r="57" spans="1:9">
      <c r="A57" s="74" t="str">
        <f>'11.F&amp;V Crop Production details'!A126</f>
        <v>Citrus</v>
      </c>
      <c r="B57" s="172"/>
      <c r="C57" s="227">
        <f>'11.F&amp;V Crop Production details'!B126</f>
        <v>0</v>
      </c>
      <c r="D57" s="227">
        <f>'11.F&amp;V Crop Production details'!C126</f>
        <v>0</v>
      </c>
      <c r="E57" s="227">
        <f>'11.F&amp;V Crop Production details'!D126</f>
        <v>0</v>
      </c>
      <c r="F57" s="227">
        <f>'11.F&amp;V Crop Production details'!E126</f>
        <v>0</v>
      </c>
      <c r="G57" s="227">
        <f>'11.F&amp;V Crop Production details'!F126</f>
        <v>0</v>
      </c>
      <c r="H57" s="227">
        <f>'11.F&amp;V Crop Production details'!G126</f>
        <v>0</v>
      </c>
      <c r="I57" s="227">
        <f>'11.F&amp;V Crop Production details'!H126</f>
        <v>0</v>
      </c>
    </row>
    <row r="58" spans="1:9">
      <c r="A58" s="74"/>
      <c r="B58" s="172"/>
      <c r="C58" s="172"/>
      <c r="D58" s="172"/>
      <c r="E58" s="172"/>
      <c r="F58" s="172"/>
      <c r="G58" s="172"/>
      <c r="H58" s="172"/>
      <c r="I58" s="172"/>
    </row>
    <row r="59" spans="1:9">
      <c r="A59" s="76" t="s">
        <v>182</v>
      </c>
      <c r="B59" s="74"/>
      <c r="C59" s="74"/>
      <c r="D59" s="74"/>
      <c r="E59" s="74"/>
      <c r="F59" s="74"/>
      <c r="G59" s="74"/>
      <c r="H59" s="74"/>
      <c r="I59" s="74"/>
    </row>
    <row r="60" spans="1:9" ht="40.5" customHeight="1">
      <c r="A60" s="76" t="s">
        <v>701</v>
      </c>
      <c r="B60" s="334" t="s">
        <v>702</v>
      </c>
      <c r="C60" s="74"/>
      <c r="D60" s="74"/>
      <c r="E60" s="74"/>
      <c r="F60" s="74"/>
      <c r="G60" s="74"/>
      <c r="H60" s="74"/>
      <c r="I60" s="74"/>
    </row>
    <row r="61" spans="1:9">
      <c r="A61" s="76" t="str">
        <f t="shared" ref="A61:A92" si="0">A8</f>
        <v>Kharif Crops</v>
      </c>
      <c r="B61" s="74"/>
      <c r="C61" s="74"/>
      <c r="D61" s="74"/>
      <c r="E61" s="74"/>
      <c r="F61" s="74"/>
      <c r="G61" s="74"/>
      <c r="H61" s="74"/>
      <c r="I61" s="74"/>
    </row>
    <row r="62" spans="1:9">
      <c r="A62" s="74" t="str">
        <f t="shared" si="0"/>
        <v>Soybean</v>
      </c>
      <c r="B62" s="202"/>
      <c r="C62" s="168">
        <f>$B62*C9</f>
        <v>0</v>
      </c>
      <c r="D62" s="168">
        <f>$B62*D9</f>
        <v>0</v>
      </c>
      <c r="E62" s="168">
        <f t="shared" ref="E62:I62" si="1">$B62*E9</f>
        <v>0</v>
      </c>
      <c r="F62" s="168">
        <f t="shared" si="1"/>
        <v>0</v>
      </c>
      <c r="G62" s="168">
        <f t="shared" si="1"/>
        <v>0</v>
      </c>
      <c r="H62" s="168">
        <f t="shared" si="1"/>
        <v>0</v>
      </c>
      <c r="I62" s="168">
        <f t="shared" si="1"/>
        <v>0</v>
      </c>
    </row>
    <row r="63" spans="1:9">
      <c r="A63" s="74" t="str">
        <f t="shared" si="0"/>
        <v>Red Gram/Tur</v>
      </c>
      <c r="B63" s="202">
        <v>5</v>
      </c>
      <c r="C63" s="168">
        <f>$B63*C10</f>
        <v>4927</v>
      </c>
      <c r="D63" s="168">
        <f t="shared" ref="D63:I63" si="2">$B$63*D10</f>
        <v>5306</v>
      </c>
      <c r="E63" s="168">
        <f t="shared" si="2"/>
        <v>5685.0000000000009</v>
      </c>
      <c r="F63" s="168">
        <f t="shared" si="2"/>
        <v>6064.0000000000009</v>
      </c>
      <c r="G63" s="168">
        <f t="shared" si="2"/>
        <v>6443.0000000000018</v>
      </c>
      <c r="H63" s="168">
        <f t="shared" si="2"/>
        <v>6822.0000000000018</v>
      </c>
      <c r="I63" s="168">
        <f t="shared" si="2"/>
        <v>7201.0000000000027</v>
      </c>
    </row>
    <row r="64" spans="1:9">
      <c r="A64" s="74" t="str">
        <f t="shared" si="0"/>
        <v>Paddy/Rice</v>
      </c>
      <c r="B64" s="202">
        <v>15</v>
      </c>
      <c r="C64" s="168">
        <f>$B64*C11</f>
        <v>0</v>
      </c>
      <c r="D64" s="168">
        <f t="shared" ref="D64:I64" si="3">$B$64*D11</f>
        <v>0</v>
      </c>
      <c r="E64" s="168">
        <f t="shared" si="3"/>
        <v>0</v>
      </c>
      <c r="F64" s="168">
        <f t="shared" si="3"/>
        <v>0</v>
      </c>
      <c r="G64" s="168">
        <f t="shared" si="3"/>
        <v>0</v>
      </c>
      <c r="H64" s="168">
        <f t="shared" si="3"/>
        <v>0</v>
      </c>
      <c r="I64" s="168">
        <f t="shared" si="3"/>
        <v>0</v>
      </c>
    </row>
    <row r="65" spans="1:9">
      <c r="A65" s="74" t="str">
        <f t="shared" si="0"/>
        <v>Green Gram/ Moong</v>
      </c>
      <c r="B65" s="202">
        <v>15</v>
      </c>
      <c r="C65" s="168">
        <f>$B65*C12</f>
        <v>6651.4499999999989</v>
      </c>
      <c r="D65" s="168">
        <f t="shared" ref="D65:I67" si="4">$B65*D12</f>
        <v>7163.1</v>
      </c>
      <c r="E65" s="168">
        <f t="shared" si="4"/>
        <v>7674.7500000000009</v>
      </c>
      <c r="F65" s="168">
        <f t="shared" si="4"/>
        <v>8186.4000000000015</v>
      </c>
      <c r="G65" s="168">
        <f t="shared" si="4"/>
        <v>8698.0500000000011</v>
      </c>
      <c r="H65" s="168">
        <f t="shared" si="4"/>
        <v>9209.7000000000025</v>
      </c>
      <c r="I65" s="168">
        <f t="shared" si="4"/>
        <v>9721.3500000000022</v>
      </c>
    </row>
    <row r="66" spans="1:9">
      <c r="A66" s="74" t="str">
        <f t="shared" si="0"/>
        <v>Maize</v>
      </c>
      <c r="B66" s="202">
        <v>25</v>
      </c>
      <c r="C66" s="168">
        <f>$B66*C13</f>
        <v>0</v>
      </c>
      <c r="D66" s="168">
        <f t="shared" si="4"/>
        <v>0</v>
      </c>
      <c r="E66" s="168">
        <f t="shared" si="4"/>
        <v>0</v>
      </c>
      <c r="F66" s="168">
        <f t="shared" si="4"/>
        <v>0</v>
      </c>
      <c r="G66" s="168">
        <f t="shared" si="4"/>
        <v>0</v>
      </c>
      <c r="H66" s="168">
        <f t="shared" si="4"/>
        <v>0</v>
      </c>
      <c r="I66" s="168">
        <f t="shared" si="4"/>
        <v>0</v>
      </c>
    </row>
    <row r="67" spans="1:9">
      <c r="A67" s="74" t="str">
        <f t="shared" si="0"/>
        <v>Black Gram/Udid</v>
      </c>
      <c r="B67" s="202">
        <v>15</v>
      </c>
      <c r="C67" s="168">
        <f>$B67*C14</f>
        <v>3695.25</v>
      </c>
      <c r="D67" s="168">
        <f t="shared" si="4"/>
        <v>3979.5</v>
      </c>
      <c r="E67" s="168">
        <f t="shared" si="4"/>
        <v>4263.7500000000009</v>
      </c>
      <c r="F67" s="168">
        <f t="shared" si="4"/>
        <v>4548.0000000000009</v>
      </c>
      <c r="G67" s="168">
        <f t="shared" si="4"/>
        <v>4832.2500000000018</v>
      </c>
      <c r="H67" s="168">
        <f t="shared" si="4"/>
        <v>5116.5000000000009</v>
      </c>
      <c r="I67" s="168">
        <f t="shared" si="4"/>
        <v>5400.7500000000018</v>
      </c>
    </row>
    <row r="68" spans="1:9">
      <c r="A68" s="74" t="str">
        <f t="shared" si="0"/>
        <v>Bajra</v>
      </c>
      <c r="B68" s="202">
        <v>5</v>
      </c>
      <c r="C68" s="168">
        <f t="shared" ref="C68:I68" si="5">$B68*C15</f>
        <v>0</v>
      </c>
      <c r="D68" s="168">
        <f t="shared" si="5"/>
        <v>0</v>
      </c>
      <c r="E68" s="168">
        <f t="shared" si="5"/>
        <v>0</v>
      </c>
      <c r="F68" s="168">
        <f t="shared" si="5"/>
        <v>0</v>
      </c>
      <c r="G68" s="168">
        <f t="shared" si="5"/>
        <v>0</v>
      </c>
      <c r="H68" s="168">
        <f t="shared" si="5"/>
        <v>0</v>
      </c>
      <c r="I68" s="168">
        <f t="shared" si="5"/>
        <v>0</v>
      </c>
    </row>
    <row r="69" spans="1:9">
      <c r="A69" s="74" t="str">
        <f t="shared" si="0"/>
        <v>Jawar</v>
      </c>
      <c r="B69" s="202">
        <v>5</v>
      </c>
      <c r="C69" s="168">
        <f t="shared" ref="C69:I69" si="6">$B69*C16</f>
        <v>0</v>
      </c>
      <c r="D69" s="168">
        <f t="shared" si="6"/>
        <v>0</v>
      </c>
      <c r="E69" s="168">
        <f t="shared" si="6"/>
        <v>0</v>
      </c>
      <c r="F69" s="168">
        <f t="shared" si="6"/>
        <v>0</v>
      </c>
      <c r="G69" s="168">
        <f t="shared" si="6"/>
        <v>0</v>
      </c>
      <c r="H69" s="168">
        <f t="shared" si="6"/>
        <v>0</v>
      </c>
      <c r="I69" s="168">
        <f t="shared" si="6"/>
        <v>0</v>
      </c>
    </row>
    <row r="70" spans="1:9">
      <c r="A70" s="76" t="str">
        <f t="shared" si="0"/>
        <v>Rabi Crop</v>
      </c>
      <c r="B70" s="202"/>
      <c r="C70" s="168"/>
      <c r="D70" s="168"/>
      <c r="E70" s="168"/>
      <c r="F70" s="168"/>
      <c r="G70" s="168"/>
      <c r="H70" s="168"/>
      <c r="I70" s="168"/>
    </row>
    <row r="71" spans="1:9">
      <c r="A71" s="74" t="str">
        <f t="shared" si="0"/>
        <v>Wheat</v>
      </c>
      <c r="B71" s="202">
        <v>20</v>
      </c>
      <c r="C71" s="168">
        <f t="shared" ref="C71:I71" si="7">$B71*C18</f>
        <v>2956.2</v>
      </c>
      <c r="D71" s="168">
        <f t="shared" si="7"/>
        <v>3183.6000000000004</v>
      </c>
      <c r="E71" s="168">
        <f t="shared" si="7"/>
        <v>3411</v>
      </c>
      <c r="F71" s="168">
        <f t="shared" si="7"/>
        <v>3638.4000000000005</v>
      </c>
      <c r="G71" s="168">
        <f t="shared" si="7"/>
        <v>3865.8</v>
      </c>
      <c r="H71" s="168">
        <f t="shared" si="7"/>
        <v>4093.2000000000007</v>
      </c>
      <c r="I71" s="168">
        <f t="shared" si="7"/>
        <v>4320.6000000000013</v>
      </c>
    </row>
    <row r="72" spans="1:9">
      <c r="A72" s="74" t="str">
        <f t="shared" si="0"/>
        <v>Bengal Gram/Channa</v>
      </c>
      <c r="B72" s="202">
        <v>25</v>
      </c>
      <c r="C72" s="168">
        <f t="shared" ref="C72:I72" si="8">$B72*C19</f>
        <v>8314.3125000000018</v>
      </c>
      <c r="D72" s="168">
        <f t="shared" si="8"/>
        <v>8953.875</v>
      </c>
      <c r="E72" s="168">
        <f t="shared" si="8"/>
        <v>9593.4375</v>
      </c>
      <c r="F72" s="168">
        <f t="shared" si="8"/>
        <v>10233</v>
      </c>
      <c r="G72" s="168">
        <f t="shared" si="8"/>
        <v>10872.5625</v>
      </c>
      <c r="H72" s="168">
        <f t="shared" si="8"/>
        <v>11512.125000000002</v>
      </c>
      <c r="I72" s="168">
        <f t="shared" si="8"/>
        <v>12151.687500000002</v>
      </c>
    </row>
    <row r="73" spans="1:9">
      <c r="A73" s="74" t="str">
        <f t="shared" si="0"/>
        <v>Jawar</v>
      </c>
      <c r="B73" s="202">
        <v>5</v>
      </c>
      <c r="C73" s="168">
        <f t="shared" ref="C73:I73" si="9">$B73*C20</f>
        <v>0</v>
      </c>
      <c r="D73" s="168">
        <f t="shared" si="9"/>
        <v>0</v>
      </c>
      <c r="E73" s="168">
        <f t="shared" si="9"/>
        <v>0</v>
      </c>
      <c r="F73" s="168">
        <f t="shared" si="9"/>
        <v>0</v>
      </c>
      <c r="G73" s="168">
        <f t="shared" si="9"/>
        <v>0</v>
      </c>
      <c r="H73" s="168">
        <f t="shared" si="9"/>
        <v>0</v>
      </c>
      <c r="I73" s="168">
        <f t="shared" si="9"/>
        <v>0</v>
      </c>
    </row>
    <row r="74" spans="1:9">
      <c r="A74" s="74" t="str">
        <f t="shared" si="0"/>
        <v>Maize</v>
      </c>
      <c r="B74" s="202">
        <v>20</v>
      </c>
      <c r="C74" s="168">
        <f t="shared" ref="C74:I74" si="10">$B74*C21</f>
        <v>0</v>
      </c>
      <c r="D74" s="168">
        <f t="shared" si="10"/>
        <v>0</v>
      </c>
      <c r="E74" s="168">
        <f t="shared" si="10"/>
        <v>0</v>
      </c>
      <c r="F74" s="168">
        <f t="shared" si="10"/>
        <v>0</v>
      </c>
      <c r="G74" s="168">
        <f t="shared" si="10"/>
        <v>0</v>
      </c>
      <c r="H74" s="168">
        <f t="shared" si="10"/>
        <v>0</v>
      </c>
      <c r="I74" s="168">
        <f t="shared" si="10"/>
        <v>0</v>
      </c>
    </row>
    <row r="75" spans="1:9">
      <c r="A75" s="74" t="str">
        <f t="shared" si="0"/>
        <v>Safflower</v>
      </c>
      <c r="B75" s="202"/>
      <c r="C75" s="168">
        <f t="shared" ref="C75:I75" si="11">$B75*C22</f>
        <v>0</v>
      </c>
      <c r="D75" s="168">
        <f t="shared" si="11"/>
        <v>0</v>
      </c>
      <c r="E75" s="168">
        <f t="shared" si="11"/>
        <v>0</v>
      </c>
      <c r="F75" s="168">
        <f t="shared" si="11"/>
        <v>0</v>
      </c>
      <c r="G75" s="168">
        <f t="shared" si="11"/>
        <v>0</v>
      </c>
      <c r="H75" s="168">
        <f t="shared" si="11"/>
        <v>0</v>
      </c>
      <c r="I75" s="168">
        <f t="shared" si="11"/>
        <v>0</v>
      </c>
    </row>
    <row r="76" spans="1:9">
      <c r="A76" s="74" t="str">
        <f t="shared" si="0"/>
        <v>Groundnut</v>
      </c>
      <c r="B76" s="202"/>
      <c r="C76" s="168">
        <f t="shared" ref="C76:I76" si="12">$B76*C23</f>
        <v>0</v>
      </c>
      <c r="D76" s="168">
        <f t="shared" si="12"/>
        <v>0</v>
      </c>
      <c r="E76" s="168">
        <f t="shared" si="12"/>
        <v>0</v>
      </c>
      <c r="F76" s="168">
        <f t="shared" si="12"/>
        <v>0</v>
      </c>
      <c r="G76" s="168">
        <f t="shared" si="12"/>
        <v>0</v>
      </c>
      <c r="H76" s="168">
        <f t="shared" si="12"/>
        <v>0</v>
      </c>
      <c r="I76" s="168">
        <f t="shared" si="12"/>
        <v>0</v>
      </c>
    </row>
    <row r="77" spans="1:9">
      <c r="A77" s="74">
        <f t="shared" si="0"/>
        <v>0</v>
      </c>
      <c r="B77" s="202"/>
      <c r="C77" s="168">
        <f t="shared" ref="C77:I77" si="13">$B77*C24</f>
        <v>0</v>
      </c>
      <c r="D77" s="168">
        <f t="shared" si="13"/>
        <v>0</v>
      </c>
      <c r="E77" s="168">
        <f t="shared" si="13"/>
        <v>0</v>
      </c>
      <c r="F77" s="168">
        <f t="shared" si="13"/>
        <v>0</v>
      </c>
      <c r="G77" s="168">
        <f t="shared" si="13"/>
        <v>0</v>
      </c>
      <c r="H77" s="168">
        <f t="shared" si="13"/>
        <v>0</v>
      </c>
      <c r="I77" s="168">
        <f t="shared" si="13"/>
        <v>0</v>
      </c>
    </row>
    <row r="78" spans="1:9">
      <c r="A78" s="74">
        <f t="shared" si="0"/>
        <v>0</v>
      </c>
      <c r="B78" s="202"/>
      <c r="C78" s="168">
        <f t="shared" ref="C78:I78" si="14">$B78*C25</f>
        <v>0</v>
      </c>
      <c r="D78" s="168">
        <f t="shared" si="14"/>
        <v>0</v>
      </c>
      <c r="E78" s="168">
        <f t="shared" si="14"/>
        <v>0</v>
      </c>
      <c r="F78" s="168">
        <f t="shared" si="14"/>
        <v>0</v>
      </c>
      <c r="G78" s="168">
        <f t="shared" si="14"/>
        <v>0</v>
      </c>
      <c r="H78" s="168">
        <f t="shared" si="14"/>
        <v>0</v>
      </c>
      <c r="I78" s="168">
        <f t="shared" si="14"/>
        <v>0</v>
      </c>
    </row>
    <row r="79" spans="1:9">
      <c r="A79" s="76" t="str">
        <f t="shared" si="0"/>
        <v>Summer</v>
      </c>
      <c r="B79" s="202"/>
      <c r="C79" s="168"/>
      <c r="D79" s="168"/>
      <c r="E79" s="168"/>
      <c r="F79" s="168"/>
      <c r="G79" s="168"/>
      <c r="H79" s="168"/>
      <c r="I79" s="168"/>
    </row>
    <row r="80" spans="1:9">
      <c r="A80" s="74" t="str">
        <f t="shared" si="0"/>
        <v>Groundnut</v>
      </c>
      <c r="B80" s="202"/>
      <c r="C80" s="168">
        <f t="shared" ref="C80:I80" si="15">$B80*C27</f>
        <v>0</v>
      </c>
      <c r="D80" s="168">
        <f t="shared" si="15"/>
        <v>0</v>
      </c>
      <c r="E80" s="168">
        <f t="shared" si="15"/>
        <v>0</v>
      </c>
      <c r="F80" s="168">
        <f t="shared" si="15"/>
        <v>0</v>
      </c>
      <c r="G80" s="168">
        <f t="shared" si="15"/>
        <v>0</v>
      </c>
      <c r="H80" s="168">
        <f t="shared" si="15"/>
        <v>0</v>
      </c>
      <c r="I80" s="168">
        <f t="shared" si="15"/>
        <v>0</v>
      </c>
    </row>
    <row r="81" spans="1:9">
      <c r="A81" s="74">
        <f t="shared" si="0"/>
        <v>0</v>
      </c>
      <c r="B81" s="202"/>
      <c r="C81" s="168">
        <f t="shared" ref="C81:I81" si="16">$B81*C28</f>
        <v>0</v>
      </c>
      <c r="D81" s="168">
        <f t="shared" si="16"/>
        <v>0</v>
      </c>
      <c r="E81" s="168">
        <f t="shared" si="16"/>
        <v>0</v>
      </c>
      <c r="F81" s="168">
        <f t="shared" si="16"/>
        <v>0</v>
      </c>
      <c r="G81" s="168">
        <f t="shared" si="16"/>
        <v>0</v>
      </c>
      <c r="H81" s="168">
        <f t="shared" si="16"/>
        <v>0</v>
      </c>
      <c r="I81" s="168">
        <f t="shared" si="16"/>
        <v>0</v>
      </c>
    </row>
    <row r="82" spans="1:9">
      <c r="A82" s="74">
        <f t="shared" si="0"/>
        <v>0</v>
      </c>
      <c r="B82" s="202"/>
      <c r="C82" s="168">
        <f t="shared" ref="C82:I82" si="17">$B82*C29</f>
        <v>0</v>
      </c>
      <c r="D82" s="168">
        <f t="shared" si="17"/>
        <v>0</v>
      </c>
      <c r="E82" s="168">
        <f t="shared" si="17"/>
        <v>0</v>
      </c>
      <c r="F82" s="168">
        <f t="shared" si="17"/>
        <v>0</v>
      </c>
      <c r="G82" s="168">
        <f t="shared" si="17"/>
        <v>0</v>
      </c>
      <c r="H82" s="168">
        <f t="shared" si="17"/>
        <v>0</v>
      </c>
      <c r="I82" s="168">
        <f t="shared" si="17"/>
        <v>0</v>
      </c>
    </row>
    <row r="83" spans="1:9">
      <c r="A83" s="74">
        <f t="shared" si="0"/>
        <v>0</v>
      </c>
      <c r="B83" s="202"/>
      <c r="C83" s="168">
        <f t="shared" ref="C83:I83" si="18">$B83*C30</f>
        <v>0</v>
      </c>
      <c r="D83" s="168">
        <f t="shared" si="18"/>
        <v>0</v>
      </c>
      <c r="E83" s="168">
        <f t="shared" si="18"/>
        <v>0</v>
      </c>
      <c r="F83" s="168">
        <f t="shared" si="18"/>
        <v>0</v>
      </c>
      <c r="G83" s="168">
        <f t="shared" si="18"/>
        <v>0</v>
      </c>
      <c r="H83" s="168">
        <f t="shared" si="18"/>
        <v>0</v>
      </c>
      <c r="I83" s="168">
        <f t="shared" si="18"/>
        <v>0</v>
      </c>
    </row>
    <row r="84" spans="1:9">
      <c r="A84" s="74">
        <f t="shared" si="0"/>
        <v>0</v>
      </c>
      <c r="B84" s="202"/>
      <c r="C84" s="168">
        <f t="shared" ref="C84:I84" si="19">$B84*C31</f>
        <v>0</v>
      </c>
      <c r="D84" s="168">
        <f t="shared" si="19"/>
        <v>0</v>
      </c>
      <c r="E84" s="168">
        <f t="shared" si="19"/>
        <v>0</v>
      </c>
      <c r="F84" s="168">
        <f t="shared" si="19"/>
        <v>0</v>
      </c>
      <c r="G84" s="168">
        <f t="shared" si="19"/>
        <v>0</v>
      </c>
      <c r="H84" s="168">
        <f t="shared" si="19"/>
        <v>0</v>
      </c>
      <c r="I84" s="168">
        <f t="shared" si="19"/>
        <v>0</v>
      </c>
    </row>
    <row r="85" spans="1:9">
      <c r="A85" s="76" t="str">
        <f t="shared" si="0"/>
        <v>Fruit  &amp; Vegetables Crop Production Details</v>
      </c>
      <c r="B85" s="202"/>
      <c r="C85" s="168"/>
      <c r="D85" s="168"/>
      <c r="E85" s="168"/>
      <c r="F85" s="168"/>
      <c r="G85" s="168"/>
      <c r="H85" s="168"/>
      <c r="I85" s="168"/>
    </row>
    <row r="86" spans="1:9">
      <c r="A86" s="74" t="str">
        <f t="shared" si="0"/>
        <v>Onion</v>
      </c>
      <c r="B86" s="202"/>
      <c r="C86" s="168">
        <f t="shared" ref="C86:I86" si="20">$B86*C33</f>
        <v>0</v>
      </c>
      <c r="D86" s="168">
        <f t="shared" si="20"/>
        <v>0</v>
      </c>
      <c r="E86" s="168">
        <f t="shared" si="20"/>
        <v>0</v>
      </c>
      <c r="F86" s="168">
        <f t="shared" si="20"/>
        <v>0</v>
      </c>
      <c r="G86" s="168">
        <f t="shared" si="20"/>
        <v>0</v>
      </c>
      <c r="H86" s="168">
        <f t="shared" si="20"/>
        <v>0</v>
      </c>
      <c r="I86" s="168">
        <f t="shared" si="20"/>
        <v>0</v>
      </c>
    </row>
    <row r="87" spans="1:9">
      <c r="A87" s="74" t="str">
        <f t="shared" si="0"/>
        <v>Tomato</v>
      </c>
      <c r="B87" s="202"/>
      <c r="C87" s="168">
        <f t="shared" ref="C87:I87" si="21">$B87*C34</f>
        <v>0</v>
      </c>
      <c r="D87" s="168">
        <f t="shared" si="21"/>
        <v>0</v>
      </c>
      <c r="E87" s="168">
        <f t="shared" si="21"/>
        <v>0</v>
      </c>
      <c r="F87" s="168">
        <f t="shared" si="21"/>
        <v>0</v>
      </c>
      <c r="G87" s="168">
        <f t="shared" si="21"/>
        <v>0</v>
      </c>
      <c r="H87" s="168">
        <f t="shared" si="21"/>
        <v>0</v>
      </c>
      <c r="I87" s="168">
        <f t="shared" si="21"/>
        <v>0</v>
      </c>
    </row>
    <row r="88" spans="1:9">
      <c r="A88" s="74" t="str">
        <f t="shared" si="0"/>
        <v>Okra</v>
      </c>
      <c r="B88" s="202"/>
      <c r="C88" s="168">
        <f t="shared" ref="C88:I88" si="22">$B88*C35</f>
        <v>0</v>
      </c>
      <c r="D88" s="168">
        <f t="shared" si="22"/>
        <v>0</v>
      </c>
      <c r="E88" s="168">
        <f t="shared" si="22"/>
        <v>0</v>
      </c>
      <c r="F88" s="168">
        <f t="shared" si="22"/>
        <v>0</v>
      </c>
      <c r="G88" s="168">
        <f t="shared" si="22"/>
        <v>0</v>
      </c>
      <c r="H88" s="168">
        <f t="shared" si="22"/>
        <v>0</v>
      </c>
      <c r="I88" s="168">
        <f t="shared" si="22"/>
        <v>0</v>
      </c>
    </row>
    <row r="89" spans="1:9">
      <c r="A89" s="74" t="str">
        <f t="shared" si="0"/>
        <v>Chilli</v>
      </c>
      <c r="B89" s="202"/>
      <c r="C89" s="168">
        <f t="shared" ref="C89:I89" si="23">$B89*C36</f>
        <v>0</v>
      </c>
      <c r="D89" s="168">
        <f t="shared" si="23"/>
        <v>0</v>
      </c>
      <c r="E89" s="168">
        <f t="shared" si="23"/>
        <v>0</v>
      </c>
      <c r="F89" s="168">
        <f t="shared" si="23"/>
        <v>0</v>
      </c>
      <c r="G89" s="168">
        <f t="shared" si="23"/>
        <v>0</v>
      </c>
      <c r="H89" s="168">
        <f t="shared" si="23"/>
        <v>0</v>
      </c>
      <c r="I89" s="168">
        <f t="shared" si="23"/>
        <v>0</v>
      </c>
    </row>
    <row r="90" spans="1:9">
      <c r="A90" s="74" t="str">
        <f t="shared" si="0"/>
        <v>Potato</v>
      </c>
      <c r="B90" s="202"/>
      <c r="C90" s="168">
        <f t="shared" ref="C90:I90" si="24">$B90*C37</f>
        <v>0</v>
      </c>
      <c r="D90" s="168">
        <f t="shared" si="24"/>
        <v>0</v>
      </c>
      <c r="E90" s="168">
        <f t="shared" si="24"/>
        <v>0</v>
      </c>
      <c r="F90" s="168">
        <f t="shared" si="24"/>
        <v>0</v>
      </c>
      <c r="G90" s="168">
        <f t="shared" si="24"/>
        <v>0</v>
      </c>
      <c r="H90" s="168">
        <f t="shared" si="24"/>
        <v>0</v>
      </c>
      <c r="I90" s="168">
        <f t="shared" si="24"/>
        <v>0</v>
      </c>
    </row>
    <row r="91" spans="1:9">
      <c r="A91" s="74">
        <f t="shared" si="0"/>
        <v>0</v>
      </c>
      <c r="B91" s="202"/>
      <c r="C91" s="168">
        <f t="shared" ref="C91:I91" si="25">$B91*C38</f>
        <v>0</v>
      </c>
      <c r="D91" s="168">
        <f t="shared" si="25"/>
        <v>0</v>
      </c>
      <c r="E91" s="168">
        <f t="shared" si="25"/>
        <v>0</v>
      </c>
      <c r="F91" s="168">
        <f t="shared" si="25"/>
        <v>0</v>
      </c>
      <c r="G91" s="168">
        <f t="shared" si="25"/>
        <v>0</v>
      </c>
      <c r="H91" s="168">
        <f t="shared" si="25"/>
        <v>0</v>
      </c>
      <c r="I91" s="168">
        <f t="shared" si="25"/>
        <v>0</v>
      </c>
    </row>
    <row r="92" spans="1:9">
      <c r="A92" s="74">
        <f t="shared" si="0"/>
        <v>0</v>
      </c>
      <c r="B92" s="202"/>
      <c r="C92" s="168">
        <f t="shared" ref="C92:I92" si="26">$B92*C39</f>
        <v>0</v>
      </c>
      <c r="D92" s="168">
        <f t="shared" si="26"/>
        <v>0</v>
      </c>
      <c r="E92" s="168">
        <f t="shared" si="26"/>
        <v>0</v>
      </c>
      <c r="F92" s="168">
        <f t="shared" si="26"/>
        <v>0</v>
      </c>
      <c r="G92" s="168">
        <f t="shared" si="26"/>
        <v>0</v>
      </c>
      <c r="H92" s="168">
        <f t="shared" si="26"/>
        <v>0</v>
      </c>
      <c r="I92" s="168">
        <f t="shared" si="26"/>
        <v>0</v>
      </c>
    </row>
    <row r="93" spans="1:9">
      <c r="A93" s="74">
        <f t="shared" ref="A93:A110" si="27">A40</f>
        <v>0</v>
      </c>
      <c r="B93" s="202"/>
      <c r="C93" s="168">
        <f t="shared" ref="C93:I93" si="28">$B93*C40</f>
        <v>0</v>
      </c>
      <c r="D93" s="168">
        <f t="shared" si="28"/>
        <v>0</v>
      </c>
      <c r="E93" s="168">
        <f t="shared" si="28"/>
        <v>0</v>
      </c>
      <c r="F93" s="168">
        <f t="shared" si="28"/>
        <v>0</v>
      </c>
      <c r="G93" s="168">
        <f t="shared" si="28"/>
        <v>0</v>
      </c>
      <c r="H93" s="168">
        <f t="shared" si="28"/>
        <v>0</v>
      </c>
      <c r="I93" s="168">
        <f t="shared" si="28"/>
        <v>0</v>
      </c>
    </row>
    <row r="94" spans="1:9">
      <c r="A94" s="74">
        <f t="shared" si="27"/>
        <v>0</v>
      </c>
      <c r="B94" s="202"/>
      <c r="C94" s="168">
        <f t="shared" ref="C94:I94" si="29">$B94*C41</f>
        <v>0</v>
      </c>
      <c r="D94" s="168">
        <f t="shared" si="29"/>
        <v>0</v>
      </c>
      <c r="E94" s="168">
        <f t="shared" si="29"/>
        <v>0</v>
      </c>
      <c r="F94" s="168">
        <f t="shared" si="29"/>
        <v>0</v>
      </c>
      <c r="G94" s="168">
        <f t="shared" si="29"/>
        <v>0</v>
      </c>
      <c r="H94" s="168">
        <f t="shared" si="29"/>
        <v>0</v>
      </c>
      <c r="I94" s="168">
        <f t="shared" si="29"/>
        <v>0</v>
      </c>
    </row>
    <row r="95" spans="1:9">
      <c r="A95" s="74" t="str">
        <f t="shared" si="27"/>
        <v>Onion</v>
      </c>
      <c r="B95" s="202"/>
      <c r="C95" s="168">
        <f t="shared" ref="C95:I95" si="30">$B95*C42</f>
        <v>0</v>
      </c>
      <c r="D95" s="168">
        <f t="shared" si="30"/>
        <v>0</v>
      </c>
      <c r="E95" s="168">
        <f t="shared" si="30"/>
        <v>0</v>
      </c>
      <c r="F95" s="168">
        <f t="shared" si="30"/>
        <v>0</v>
      </c>
      <c r="G95" s="168">
        <f t="shared" si="30"/>
        <v>0</v>
      </c>
      <c r="H95" s="168">
        <f t="shared" si="30"/>
        <v>0</v>
      </c>
      <c r="I95" s="168">
        <f t="shared" si="30"/>
        <v>0</v>
      </c>
    </row>
    <row r="96" spans="1:9">
      <c r="A96" s="74" t="str">
        <f t="shared" si="27"/>
        <v>Tomato</v>
      </c>
      <c r="B96" s="202"/>
      <c r="C96" s="168">
        <f t="shared" ref="C96:I96" si="31">$B96*C43</f>
        <v>0</v>
      </c>
      <c r="D96" s="168">
        <f t="shared" si="31"/>
        <v>0</v>
      </c>
      <c r="E96" s="168">
        <f t="shared" si="31"/>
        <v>0</v>
      </c>
      <c r="F96" s="168">
        <f t="shared" si="31"/>
        <v>0</v>
      </c>
      <c r="G96" s="168">
        <f t="shared" si="31"/>
        <v>0</v>
      </c>
      <c r="H96" s="168">
        <f t="shared" si="31"/>
        <v>0</v>
      </c>
      <c r="I96" s="168">
        <f t="shared" si="31"/>
        <v>0</v>
      </c>
    </row>
    <row r="97" spans="1:9">
      <c r="A97" s="74" t="str">
        <f t="shared" si="27"/>
        <v>Okra</v>
      </c>
      <c r="B97" s="202"/>
      <c r="C97" s="168">
        <f t="shared" ref="C97:I97" si="32">$B97*C44</f>
        <v>0</v>
      </c>
      <c r="D97" s="168">
        <f t="shared" si="32"/>
        <v>0</v>
      </c>
      <c r="E97" s="168">
        <f t="shared" si="32"/>
        <v>0</v>
      </c>
      <c r="F97" s="168">
        <f t="shared" si="32"/>
        <v>0</v>
      </c>
      <c r="G97" s="168">
        <f t="shared" si="32"/>
        <v>0</v>
      </c>
      <c r="H97" s="168">
        <f t="shared" si="32"/>
        <v>0</v>
      </c>
      <c r="I97" s="168">
        <f t="shared" si="32"/>
        <v>0</v>
      </c>
    </row>
    <row r="98" spans="1:9">
      <c r="A98" s="74" t="str">
        <f t="shared" si="27"/>
        <v>Chilli</v>
      </c>
      <c r="B98" s="202"/>
      <c r="C98" s="168">
        <f t="shared" ref="C98:I98" si="33">$B98*C45</f>
        <v>0</v>
      </c>
      <c r="D98" s="168">
        <f t="shared" si="33"/>
        <v>0</v>
      </c>
      <c r="E98" s="168">
        <f t="shared" si="33"/>
        <v>0</v>
      </c>
      <c r="F98" s="168">
        <f t="shared" si="33"/>
        <v>0</v>
      </c>
      <c r="G98" s="168">
        <f t="shared" si="33"/>
        <v>0</v>
      </c>
      <c r="H98" s="168">
        <f t="shared" si="33"/>
        <v>0</v>
      </c>
      <c r="I98" s="168">
        <f t="shared" si="33"/>
        <v>0</v>
      </c>
    </row>
    <row r="99" spans="1:9">
      <c r="A99" s="74" t="str">
        <f t="shared" si="27"/>
        <v>Brinjal</v>
      </c>
      <c r="B99" s="202"/>
      <c r="C99" s="168">
        <f t="shared" ref="C99:I99" si="34">$B99*C46</f>
        <v>0</v>
      </c>
      <c r="D99" s="168">
        <f t="shared" si="34"/>
        <v>0</v>
      </c>
      <c r="E99" s="168">
        <f t="shared" si="34"/>
        <v>0</v>
      </c>
      <c r="F99" s="168">
        <f t="shared" si="34"/>
        <v>0</v>
      </c>
      <c r="G99" s="168">
        <f t="shared" si="34"/>
        <v>0</v>
      </c>
      <c r="H99" s="168">
        <f t="shared" si="34"/>
        <v>0</v>
      </c>
      <c r="I99" s="168">
        <f t="shared" si="34"/>
        <v>0</v>
      </c>
    </row>
    <row r="100" spans="1:9">
      <c r="A100" s="74">
        <f t="shared" si="27"/>
        <v>0</v>
      </c>
      <c r="B100" s="202"/>
      <c r="C100" s="168">
        <f t="shared" ref="C100:I100" si="35">$B100*C47</f>
        <v>0</v>
      </c>
      <c r="D100" s="168">
        <f t="shared" si="35"/>
        <v>0</v>
      </c>
      <c r="E100" s="168">
        <f t="shared" si="35"/>
        <v>0</v>
      </c>
      <c r="F100" s="168">
        <f t="shared" si="35"/>
        <v>0</v>
      </c>
      <c r="G100" s="168">
        <f t="shared" si="35"/>
        <v>0</v>
      </c>
      <c r="H100" s="168">
        <f t="shared" si="35"/>
        <v>0</v>
      </c>
      <c r="I100" s="168">
        <f t="shared" si="35"/>
        <v>0</v>
      </c>
    </row>
    <row r="101" spans="1:9">
      <c r="A101" s="74">
        <f t="shared" si="27"/>
        <v>0</v>
      </c>
      <c r="B101" s="202"/>
      <c r="C101" s="168">
        <f t="shared" ref="C101:I101" si="36">$B101*C48</f>
        <v>0</v>
      </c>
      <c r="D101" s="168">
        <f t="shared" si="36"/>
        <v>0</v>
      </c>
      <c r="E101" s="168">
        <f t="shared" si="36"/>
        <v>0</v>
      </c>
      <c r="F101" s="168">
        <f t="shared" si="36"/>
        <v>0</v>
      </c>
      <c r="G101" s="168">
        <f t="shared" si="36"/>
        <v>0</v>
      </c>
      <c r="H101" s="168">
        <f t="shared" si="36"/>
        <v>0</v>
      </c>
      <c r="I101" s="168">
        <f t="shared" si="36"/>
        <v>0</v>
      </c>
    </row>
    <row r="102" spans="1:9">
      <c r="A102" s="74">
        <f t="shared" si="27"/>
        <v>0</v>
      </c>
      <c r="B102" s="202"/>
      <c r="C102" s="168">
        <f t="shared" ref="C102:I102" si="37">$B102*C49</f>
        <v>0</v>
      </c>
      <c r="D102" s="168">
        <f t="shared" si="37"/>
        <v>0</v>
      </c>
      <c r="E102" s="168">
        <f t="shared" si="37"/>
        <v>0</v>
      </c>
      <c r="F102" s="168">
        <f t="shared" si="37"/>
        <v>0</v>
      </c>
      <c r="G102" s="168">
        <f t="shared" si="37"/>
        <v>0</v>
      </c>
      <c r="H102" s="168">
        <f t="shared" si="37"/>
        <v>0</v>
      </c>
      <c r="I102" s="168">
        <f t="shared" si="37"/>
        <v>0</v>
      </c>
    </row>
    <row r="103" spans="1:9">
      <c r="A103" s="74">
        <f t="shared" si="27"/>
        <v>0</v>
      </c>
      <c r="B103" s="202"/>
      <c r="C103" s="168">
        <f t="shared" ref="C103:I103" si="38">$B103*C50</f>
        <v>0</v>
      </c>
      <c r="D103" s="168">
        <f t="shared" si="38"/>
        <v>0</v>
      </c>
      <c r="E103" s="168">
        <f t="shared" si="38"/>
        <v>0</v>
      </c>
      <c r="F103" s="168">
        <f t="shared" si="38"/>
        <v>0</v>
      </c>
      <c r="G103" s="168">
        <f t="shared" si="38"/>
        <v>0</v>
      </c>
      <c r="H103" s="168">
        <f t="shared" si="38"/>
        <v>0</v>
      </c>
      <c r="I103" s="168">
        <f t="shared" si="38"/>
        <v>0</v>
      </c>
    </row>
    <row r="104" spans="1:9">
      <c r="A104" s="74">
        <f t="shared" si="27"/>
        <v>0</v>
      </c>
      <c r="B104" s="202"/>
      <c r="C104" s="168">
        <f t="shared" ref="C104:I104" si="39">$B104*C51</f>
        <v>0</v>
      </c>
      <c r="D104" s="168">
        <f t="shared" si="39"/>
        <v>0</v>
      </c>
      <c r="E104" s="168">
        <f t="shared" si="39"/>
        <v>0</v>
      </c>
      <c r="F104" s="168">
        <f t="shared" si="39"/>
        <v>0</v>
      </c>
      <c r="G104" s="168">
        <f t="shared" si="39"/>
        <v>0</v>
      </c>
      <c r="H104" s="168">
        <f t="shared" si="39"/>
        <v>0</v>
      </c>
      <c r="I104" s="168">
        <f t="shared" si="39"/>
        <v>0</v>
      </c>
    </row>
    <row r="105" spans="1:9">
      <c r="A105" s="74">
        <f t="shared" si="27"/>
        <v>0</v>
      </c>
      <c r="B105" s="202"/>
      <c r="C105" s="168">
        <f t="shared" ref="C105:I105" si="40">$B105*C52</f>
        <v>0</v>
      </c>
      <c r="D105" s="168">
        <f t="shared" si="40"/>
        <v>0</v>
      </c>
      <c r="E105" s="168">
        <f t="shared" si="40"/>
        <v>0</v>
      </c>
      <c r="F105" s="168">
        <f t="shared" si="40"/>
        <v>0</v>
      </c>
      <c r="G105" s="168">
        <f t="shared" si="40"/>
        <v>0</v>
      </c>
      <c r="H105" s="168">
        <f t="shared" si="40"/>
        <v>0</v>
      </c>
      <c r="I105" s="168">
        <f t="shared" si="40"/>
        <v>0</v>
      </c>
    </row>
    <row r="106" spans="1:9">
      <c r="A106" s="74">
        <f t="shared" si="27"/>
        <v>0</v>
      </c>
      <c r="B106" s="202"/>
      <c r="C106" s="168">
        <f t="shared" ref="C106:I106" si="41">$B106*C53</f>
        <v>0</v>
      </c>
      <c r="D106" s="168">
        <f t="shared" si="41"/>
        <v>0</v>
      </c>
      <c r="E106" s="168">
        <f t="shared" si="41"/>
        <v>0</v>
      </c>
      <c r="F106" s="168">
        <f t="shared" si="41"/>
        <v>0</v>
      </c>
      <c r="G106" s="168">
        <f t="shared" si="41"/>
        <v>0</v>
      </c>
      <c r="H106" s="168">
        <f t="shared" si="41"/>
        <v>0</v>
      </c>
      <c r="I106" s="168">
        <f t="shared" si="41"/>
        <v>0</v>
      </c>
    </row>
    <row r="107" spans="1:9">
      <c r="A107" s="74" t="str">
        <f t="shared" si="27"/>
        <v>Pomegranate</v>
      </c>
      <c r="B107" s="202"/>
      <c r="C107" s="168">
        <f t="shared" ref="C107:I107" si="42">$B107*C54</f>
        <v>0</v>
      </c>
      <c r="D107" s="168">
        <f t="shared" si="42"/>
        <v>0</v>
      </c>
      <c r="E107" s="168">
        <f t="shared" si="42"/>
        <v>0</v>
      </c>
      <c r="F107" s="168">
        <f t="shared" si="42"/>
        <v>0</v>
      </c>
      <c r="G107" s="168">
        <f t="shared" si="42"/>
        <v>0</v>
      </c>
      <c r="H107" s="168">
        <f t="shared" si="42"/>
        <v>0</v>
      </c>
      <c r="I107" s="168">
        <f t="shared" si="42"/>
        <v>0</v>
      </c>
    </row>
    <row r="108" spans="1:9">
      <c r="A108" s="74" t="str">
        <f t="shared" si="27"/>
        <v>Custard Apple</v>
      </c>
      <c r="B108" s="202"/>
      <c r="C108" s="168">
        <f t="shared" ref="C108:I108" si="43">$B108*C55</f>
        <v>0</v>
      </c>
      <c r="D108" s="168">
        <f t="shared" si="43"/>
        <v>0</v>
      </c>
      <c r="E108" s="168">
        <f t="shared" si="43"/>
        <v>0</v>
      </c>
      <c r="F108" s="168">
        <f t="shared" si="43"/>
        <v>0</v>
      </c>
      <c r="G108" s="168">
        <f t="shared" si="43"/>
        <v>0</v>
      </c>
      <c r="H108" s="168">
        <f t="shared" si="43"/>
        <v>0</v>
      </c>
      <c r="I108" s="168">
        <f t="shared" si="43"/>
        <v>0</v>
      </c>
    </row>
    <row r="109" spans="1:9">
      <c r="A109" s="74" t="str">
        <f t="shared" si="27"/>
        <v>Guava</v>
      </c>
      <c r="B109" s="202"/>
      <c r="C109" s="168">
        <f t="shared" ref="C109:I109" si="44">$B109*C56</f>
        <v>0</v>
      </c>
      <c r="D109" s="168">
        <f t="shared" si="44"/>
        <v>0</v>
      </c>
      <c r="E109" s="168">
        <f t="shared" si="44"/>
        <v>0</v>
      </c>
      <c r="F109" s="168">
        <f t="shared" si="44"/>
        <v>0</v>
      </c>
      <c r="G109" s="168">
        <f t="shared" si="44"/>
        <v>0</v>
      </c>
      <c r="H109" s="168">
        <f t="shared" si="44"/>
        <v>0</v>
      </c>
      <c r="I109" s="168">
        <f t="shared" si="44"/>
        <v>0</v>
      </c>
    </row>
    <row r="110" spans="1:9">
      <c r="A110" s="74" t="str">
        <f t="shared" si="27"/>
        <v>Citrus</v>
      </c>
      <c r="B110" s="202"/>
      <c r="C110" s="168">
        <f t="shared" ref="C110:I110" si="45">$B110*C57</f>
        <v>0</v>
      </c>
      <c r="D110" s="168">
        <f t="shared" si="45"/>
        <v>0</v>
      </c>
      <c r="E110" s="168">
        <f t="shared" si="45"/>
        <v>0</v>
      </c>
      <c r="F110" s="168">
        <f t="shared" si="45"/>
        <v>0</v>
      </c>
      <c r="G110" s="168">
        <f t="shared" si="45"/>
        <v>0</v>
      </c>
      <c r="H110" s="168">
        <f t="shared" si="45"/>
        <v>0</v>
      </c>
      <c r="I110" s="168">
        <f t="shared" si="45"/>
        <v>0</v>
      </c>
    </row>
    <row r="111" spans="1:9">
      <c r="A111" s="74"/>
      <c r="B111" s="202"/>
      <c r="C111" s="168"/>
      <c r="D111" s="168"/>
      <c r="E111" s="168"/>
      <c r="F111" s="168"/>
      <c r="G111" s="168"/>
      <c r="H111" s="168"/>
      <c r="I111" s="168"/>
    </row>
    <row r="112" spans="1:9">
      <c r="A112" s="74"/>
      <c r="B112" s="202"/>
      <c r="C112" s="168"/>
      <c r="D112" s="168"/>
      <c r="E112" s="168"/>
      <c r="F112" s="168"/>
      <c r="G112" s="168"/>
      <c r="H112" s="168"/>
      <c r="I112" s="168"/>
    </row>
    <row r="113" spans="1:23">
      <c r="A113" s="76" t="s">
        <v>704</v>
      </c>
      <c r="B113" s="74" t="s">
        <v>703</v>
      </c>
      <c r="C113" s="74"/>
      <c r="D113" s="74"/>
      <c r="E113" s="74"/>
      <c r="F113" s="74"/>
      <c r="G113" s="74"/>
      <c r="H113" s="74"/>
      <c r="I113" s="74"/>
    </row>
    <row r="114" spans="1:23">
      <c r="A114" s="74" t="s">
        <v>405</v>
      </c>
      <c r="B114" s="202">
        <v>50</v>
      </c>
      <c r="C114" s="168">
        <f>SUM(C62:C110)*$B$114</f>
        <v>1327210.625</v>
      </c>
      <c r="D114" s="168">
        <f t="shared" ref="D114:I114" si="46">SUM(D62:D110)*$B$114</f>
        <v>1429303.7499999998</v>
      </c>
      <c r="E114" s="168">
        <f t="shared" si="46"/>
        <v>1531396.8750000002</v>
      </c>
      <c r="F114" s="168">
        <f t="shared" si="46"/>
        <v>1633490.0000000002</v>
      </c>
      <c r="G114" s="168">
        <f t="shared" si="46"/>
        <v>1735583.1250000002</v>
      </c>
      <c r="H114" s="168">
        <f t="shared" si="46"/>
        <v>1837676.2500000005</v>
      </c>
      <c r="I114" s="168">
        <f t="shared" si="46"/>
        <v>1939769.3750000005</v>
      </c>
    </row>
    <row r="115" spans="1:23">
      <c r="A115" s="74" t="s">
        <v>178</v>
      </c>
      <c r="B115" s="202">
        <v>20</v>
      </c>
      <c r="C115" s="168">
        <f>SUM(C62:C110)*$B$115</f>
        <v>530884.25</v>
      </c>
      <c r="D115" s="168">
        <f t="shared" ref="D115:I115" si="47">SUM(D62:D110)*$B$115</f>
        <v>571721.5</v>
      </c>
      <c r="E115" s="168">
        <f t="shared" si="47"/>
        <v>612558.75000000012</v>
      </c>
      <c r="F115" s="168">
        <f t="shared" si="47"/>
        <v>653396</v>
      </c>
      <c r="G115" s="168">
        <f t="shared" si="47"/>
        <v>694233.25000000012</v>
      </c>
      <c r="H115" s="168">
        <f t="shared" si="47"/>
        <v>735070.50000000023</v>
      </c>
      <c r="I115" s="168">
        <f t="shared" si="47"/>
        <v>775907.75000000023</v>
      </c>
    </row>
    <row r="116" spans="1:23">
      <c r="A116" s="74" t="s">
        <v>180</v>
      </c>
      <c r="B116" s="202">
        <v>10</v>
      </c>
      <c r="C116" s="168">
        <f>SUM(C62:C110)*$B$116</f>
        <v>265442.125</v>
      </c>
      <c r="D116" s="168">
        <f t="shared" ref="D116:I116" si="48">SUM(D62:D110)*$B$116</f>
        <v>285860.75</v>
      </c>
      <c r="E116" s="168">
        <f t="shared" si="48"/>
        <v>306279.37500000006</v>
      </c>
      <c r="F116" s="168">
        <f t="shared" si="48"/>
        <v>326698</v>
      </c>
      <c r="G116" s="168">
        <f t="shared" si="48"/>
        <v>347116.62500000006</v>
      </c>
      <c r="H116" s="168">
        <f t="shared" si="48"/>
        <v>367535.25000000012</v>
      </c>
      <c r="I116" s="168">
        <f t="shared" si="48"/>
        <v>387953.87500000012</v>
      </c>
    </row>
    <row r="117" spans="1:23">
      <c r="A117" s="76" t="s">
        <v>705</v>
      </c>
      <c r="B117" s="202"/>
      <c r="C117" s="74"/>
      <c r="D117" s="74"/>
      <c r="E117" s="74"/>
      <c r="F117" s="74"/>
      <c r="G117" s="74"/>
      <c r="H117" s="74"/>
      <c r="I117" s="74"/>
    </row>
    <row r="118" spans="1:23">
      <c r="A118" s="74" t="s">
        <v>183</v>
      </c>
      <c r="B118" s="202">
        <v>0.2</v>
      </c>
      <c r="C118" s="168">
        <f>SUM(C62:C110)*$B$118</f>
        <v>5308.8425000000007</v>
      </c>
      <c r="D118" s="168">
        <f t="shared" ref="D118:I118" si="49">SUM(D62:D110)*$B$118</f>
        <v>5717.2150000000001</v>
      </c>
      <c r="E118" s="168">
        <f t="shared" si="49"/>
        <v>6125.5875000000015</v>
      </c>
      <c r="F118" s="168">
        <f t="shared" si="49"/>
        <v>6533.9600000000009</v>
      </c>
      <c r="G118" s="168">
        <f t="shared" si="49"/>
        <v>6942.3325000000013</v>
      </c>
      <c r="H118" s="168">
        <f t="shared" si="49"/>
        <v>7350.7050000000017</v>
      </c>
      <c r="I118" s="168">
        <f t="shared" si="49"/>
        <v>7759.0775000000031</v>
      </c>
    </row>
    <row r="119" spans="1:23">
      <c r="A119" s="74" t="s">
        <v>184</v>
      </c>
      <c r="B119" s="202">
        <v>0.5</v>
      </c>
      <c r="C119" s="168">
        <f>SUM(C62:C110)*$B$119</f>
        <v>13272.106250000001</v>
      </c>
      <c r="D119" s="168">
        <f t="shared" ref="D119:I119" si="50">SUM(D62:D110)*$B$119</f>
        <v>14293.037499999999</v>
      </c>
      <c r="E119" s="168">
        <f t="shared" si="50"/>
        <v>15313.968750000002</v>
      </c>
      <c r="F119" s="168">
        <f t="shared" si="50"/>
        <v>16334.900000000001</v>
      </c>
      <c r="G119" s="168">
        <f t="shared" si="50"/>
        <v>17355.831250000003</v>
      </c>
      <c r="H119" s="168">
        <f t="shared" si="50"/>
        <v>18376.762500000004</v>
      </c>
      <c r="I119" s="168">
        <f t="shared" si="50"/>
        <v>19397.693750000006</v>
      </c>
    </row>
    <row r="122" spans="1:23" ht="18.75">
      <c r="A122" s="368" t="s">
        <v>595</v>
      </c>
      <c r="B122" s="368"/>
      <c r="C122" s="368"/>
      <c r="D122" s="368"/>
      <c r="E122" s="368"/>
      <c r="F122" s="368"/>
      <c r="G122" s="368"/>
      <c r="H122" s="368"/>
      <c r="I122" s="368"/>
      <c r="J122" s="368"/>
    </row>
    <row r="123" spans="1:23">
      <c r="A123" s="12"/>
      <c r="B123" s="12"/>
      <c r="C123" s="12"/>
      <c r="D123" s="12"/>
      <c r="E123" s="12"/>
      <c r="F123" s="12"/>
      <c r="G123" s="12"/>
      <c r="H123" s="12"/>
    </row>
    <row r="124" spans="1:23">
      <c r="A124" s="163"/>
      <c r="B124" s="163"/>
      <c r="C124" s="163"/>
      <c r="D124" s="164">
        <v>0.9</v>
      </c>
      <c r="E124" s="165">
        <v>0.95</v>
      </c>
      <c r="F124" s="165">
        <v>1</v>
      </c>
      <c r="G124" s="165">
        <v>1</v>
      </c>
      <c r="H124" s="165">
        <v>1</v>
      </c>
      <c r="I124" s="165">
        <v>1</v>
      </c>
      <c r="J124" s="165">
        <v>1</v>
      </c>
      <c r="K124" s="73"/>
      <c r="U124" s="73"/>
      <c r="V124" s="73"/>
      <c r="W124" s="73"/>
    </row>
    <row r="125" spans="1:23">
      <c r="A125" s="73"/>
      <c r="B125" s="73"/>
      <c r="C125" s="73"/>
      <c r="D125" s="73"/>
      <c r="E125" s="73"/>
      <c r="F125" s="73"/>
      <c r="G125" s="73"/>
      <c r="H125" s="73"/>
      <c r="I125" s="73"/>
      <c r="J125" s="73"/>
      <c r="K125" s="73"/>
      <c r="U125" s="73"/>
      <c r="V125" s="73"/>
      <c r="W125" s="73"/>
    </row>
    <row r="126" spans="1:23">
      <c r="A126" s="125" t="s">
        <v>0</v>
      </c>
      <c r="B126" s="125" t="s">
        <v>132</v>
      </c>
      <c r="C126" s="125" t="s">
        <v>152</v>
      </c>
      <c r="D126" s="97" t="s">
        <v>2</v>
      </c>
      <c r="E126" s="97" t="s">
        <v>3</v>
      </c>
      <c r="F126" s="97" t="s">
        <v>4</v>
      </c>
      <c r="G126" s="97" t="s">
        <v>5</v>
      </c>
      <c r="H126" s="97" t="s">
        <v>6</v>
      </c>
      <c r="I126" s="97" t="s">
        <v>168</v>
      </c>
      <c r="J126" s="97" t="s">
        <v>167</v>
      </c>
      <c r="K126" s="73"/>
      <c r="U126" s="73"/>
      <c r="V126" s="73"/>
      <c r="W126" s="73"/>
    </row>
    <row r="127" spans="1:23">
      <c r="A127" s="76" t="s">
        <v>708</v>
      </c>
      <c r="B127" s="74"/>
      <c r="C127" s="74"/>
      <c r="D127" s="74"/>
      <c r="E127" s="74"/>
      <c r="F127" s="74"/>
      <c r="G127" s="74"/>
      <c r="H127" s="74"/>
      <c r="I127" s="74"/>
      <c r="J127" s="74"/>
      <c r="K127" s="73"/>
      <c r="U127" s="73"/>
      <c r="V127" s="73"/>
      <c r="W127" s="73"/>
    </row>
    <row r="128" spans="1:23">
      <c r="A128" s="74" t="s">
        <v>283</v>
      </c>
      <c r="B128" s="74"/>
      <c r="C128" s="74"/>
      <c r="D128" s="74"/>
      <c r="E128" s="74"/>
      <c r="F128" s="74"/>
      <c r="G128" s="74"/>
      <c r="H128" s="74"/>
      <c r="I128" s="74"/>
      <c r="J128" s="74"/>
      <c r="K128" s="73"/>
      <c r="U128" s="73"/>
      <c r="V128" s="73"/>
      <c r="W128" s="73"/>
    </row>
    <row r="129" spans="1:23">
      <c r="A129" s="76" t="str">
        <f t="shared" ref="A129:A160" si="51">A8</f>
        <v>Kharif Crops</v>
      </c>
      <c r="B129" s="74"/>
      <c r="C129" s="74" t="s">
        <v>706</v>
      </c>
      <c r="D129" s="74"/>
      <c r="E129" s="74"/>
      <c r="F129" s="74"/>
      <c r="G129" s="74"/>
      <c r="H129" s="74"/>
      <c r="I129" s="74"/>
      <c r="J129" s="74"/>
      <c r="K129" s="73"/>
      <c r="U129" s="73"/>
      <c r="V129" s="73"/>
      <c r="W129" s="73"/>
    </row>
    <row r="130" spans="1:23">
      <c r="A130" s="74" t="str">
        <f t="shared" si="51"/>
        <v>Soybean</v>
      </c>
      <c r="B130" s="74"/>
      <c r="C130" s="202">
        <v>90</v>
      </c>
      <c r="D130" s="75">
        <f>(C62*(1-'5.Closing Stock &amp; W Capital'!$D$15))*$C$130*D$124</f>
        <v>0</v>
      </c>
      <c r="E130" s="75">
        <f>((D62*(1-'5.Closing Stock &amp; W Capital'!$D$15))+(C62*'5.Closing Stock &amp; W Capital'!$D$15))*$C$130*E$124</f>
        <v>0</v>
      </c>
      <c r="F130" s="75">
        <f>((E62*(1-'5.Closing Stock &amp; W Capital'!$D$15))+(D62*'5.Closing Stock &amp; W Capital'!$D$15))*$C$130*F$124</f>
        <v>0</v>
      </c>
      <c r="G130" s="75">
        <f>((F62*(1-'5.Closing Stock &amp; W Capital'!$D$15))+(E62*'5.Closing Stock &amp; W Capital'!$D$15))*$C$130*G$124</f>
        <v>0</v>
      </c>
      <c r="H130" s="75">
        <f>((G62*(1-'5.Closing Stock &amp; W Capital'!$D$15))+(F62*'5.Closing Stock &amp; W Capital'!$D$15))*$C$130*H$124</f>
        <v>0</v>
      </c>
      <c r="I130" s="75">
        <f>((H62*(1-'5.Closing Stock &amp; W Capital'!$D$15))+(G62*'5.Closing Stock &amp; W Capital'!$D$15))*$C$130*I$124</f>
        <v>0</v>
      </c>
      <c r="J130" s="75">
        <f>((I62*(1-'5.Closing Stock &amp; W Capital'!$D$15))+(H62*'5.Closing Stock &amp; W Capital'!$D$15))*$C$130*J$124</f>
        <v>0</v>
      </c>
      <c r="K130" s="155"/>
      <c r="U130" s="73"/>
      <c r="V130" s="73"/>
      <c r="W130" s="73"/>
    </row>
    <row r="131" spans="1:23">
      <c r="A131" s="74" t="str">
        <f t="shared" si="51"/>
        <v>Red Gram/Tur</v>
      </c>
      <c r="B131" s="74"/>
      <c r="C131" s="226">
        <v>80</v>
      </c>
      <c r="D131" s="75">
        <f>(C63*(1-'5.Closing Stock &amp; W Capital'!$D$15))*$C$131*D$124</f>
        <v>337006.8</v>
      </c>
      <c r="E131" s="75">
        <f>((D63*(1-'5.Closing Stock &amp; W Capital'!$D$15))+(C63*'5.Closing Stock &amp; W Capital'!$D$15))*$C$131*E$124</f>
        <v>401815.8</v>
      </c>
      <c r="F131" s="75">
        <f>((E63*(1-'5.Closing Stock &amp; W Capital'!$D$15))+(D63*'5.Closing Stock &amp; W Capital'!$D$15))*$C$131*F$124</f>
        <v>453284.00000000012</v>
      </c>
      <c r="G131" s="75">
        <f>((F63*(1-'5.Closing Stock &amp; W Capital'!$D$15))+(E63*'5.Closing Stock &amp; W Capital'!$D$15))*$C$131*G124</f>
        <v>483604</v>
      </c>
      <c r="H131" s="75">
        <f>((G63*(1-'5.Closing Stock &amp; W Capital'!$D$15))+(F63*'5.Closing Stock &amp; W Capital'!$D$15))*$C$131*H124</f>
        <v>513924.00000000012</v>
      </c>
      <c r="I131" s="75">
        <f>((H63*(1-'5.Closing Stock &amp; W Capital'!$D$15))+(G63*'5.Closing Stock &amp; W Capital'!$D$15))*$C$131*I124</f>
        <v>544244.00000000012</v>
      </c>
      <c r="J131" s="75">
        <f>((I63*(1-'5.Closing Stock &amp; W Capital'!$D$15))+(H63*'5.Closing Stock &amp; W Capital'!$D$15))*$C$131*J124</f>
        <v>574564.00000000023</v>
      </c>
      <c r="K131" s="73"/>
      <c r="U131" s="155"/>
      <c r="V131" s="73"/>
      <c r="W131" s="73"/>
    </row>
    <row r="132" spans="1:23">
      <c r="A132" s="74" t="str">
        <f t="shared" si="51"/>
        <v>Paddy/Rice</v>
      </c>
      <c r="B132" s="74"/>
      <c r="C132" s="226">
        <v>65</v>
      </c>
      <c r="D132" s="75">
        <f>(C64*(1-'5.Closing Stock &amp; W Capital'!$D$15))*$C$132*D$124</f>
        <v>0</v>
      </c>
      <c r="E132" s="75">
        <f>((D64*(1-'5.Closing Stock &amp; W Capital'!$D$15))+(C64*'5.Closing Stock &amp; W Capital'!$D$15))*$C$132*E$124</f>
        <v>0</v>
      </c>
      <c r="F132" s="75">
        <f>((E64*(1-'5.Closing Stock &amp; W Capital'!$D$15))+(D64*'5.Closing Stock &amp; W Capital'!$D$15))*$C$132*F$124</f>
        <v>0</v>
      </c>
      <c r="G132" s="75">
        <f>((F64*(1-'5.Closing Stock &amp; W Capital'!$D$15))+(E64*'5.Closing Stock &amp; W Capital'!$D$15))*$C$132*G124</f>
        <v>0</v>
      </c>
      <c r="H132" s="75">
        <f>((G64*(1-'5.Closing Stock &amp; W Capital'!$D$15))+(F64*'5.Closing Stock &amp; W Capital'!$D$15))*$C$132*H124</f>
        <v>0</v>
      </c>
      <c r="I132" s="75">
        <f>((H64*(1-'5.Closing Stock &amp; W Capital'!$D$15))+(G64*'5.Closing Stock &amp; W Capital'!$D$15))*$C$132*I124</f>
        <v>0</v>
      </c>
      <c r="J132" s="75">
        <f>((I64*(1-'5.Closing Stock &amp; W Capital'!$D$15))+(H64*'5.Closing Stock &amp; W Capital'!$D$15))*$C$132*J124</f>
        <v>0</v>
      </c>
      <c r="K132" s="73"/>
      <c r="U132" s="73"/>
      <c r="V132" s="73"/>
      <c r="W132" s="73"/>
    </row>
    <row r="133" spans="1:23">
      <c r="A133" s="74" t="str">
        <f t="shared" si="51"/>
        <v>Green Gram/ Moong</v>
      </c>
      <c r="B133" s="74"/>
      <c r="C133" s="226">
        <v>85</v>
      </c>
      <c r="D133" s="75">
        <f>(C65*(1-'5.Closing Stock &amp; W Capital'!$D$15))*$C$133*D$124</f>
        <v>483394.12874999992</v>
      </c>
      <c r="E133" s="75">
        <f>((D65*(1-'5.Closing Stock &amp; W Capital'!$D$15))+(C65*'5.Closing Stock &amp; W Capital'!$D$15))*$C$133*E$124</f>
        <v>576354.53812499996</v>
      </c>
      <c r="F133" s="75">
        <f>((E65*(1-'5.Closing Stock &amp; W Capital'!$D$15))+(D65*'5.Closing Stock &amp; W Capital'!$D$15))*$C$133*F$124</f>
        <v>650179.23750000005</v>
      </c>
      <c r="G133" s="75">
        <f>((F65*(1-'5.Closing Stock &amp; W Capital'!$D$15))+(E65*'5.Closing Stock &amp; W Capital'!$D$15))*$C$133*G$124</f>
        <v>693669.48750000005</v>
      </c>
      <c r="H133" s="75">
        <f>((G65*(1-'5.Closing Stock &amp; W Capital'!$D$15))+(F65*'5.Closing Stock &amp; W Capital'!$D$15))*$C$133*H$124</f>
        <v>737159.73750000005</v>
      </c>
      <c r="I133" s="75">
        <f>((H65*(1-'5.Closing Stock &amp; W Capital'!$D$15))+(G65*'5.Closing Stock &amp; W Capital'!$D$15))*$C$133*I$124</f>
        <v>780649.98750000016</v>
      </c>
      <c r="J133" s="75">
        <f>((I65*(1-'5.Closing Stock &amp; W Capital'!$D$15))+(H65*'5.Closing Stock &amp; W Capital'!$D$15))*$C$133*J$124</f>
        <v>824140.23750000016</v>
      </c>
      <c r="K133" s="73"/>
      <c r="U133" s="73"/>
      <c r="V133" s="73"/>
      <c r="W133" s="73"/>
    </row>
    <row r="134" spans="1:23">
      <c r="A134" s="74" t="str">
        <f t="shared" si="51"/>
        <v>Maize</v>
      </c>
      <c r="B134" s="74"/>
      <c r="C134" s="226">
        <v>37</v>
      </c>
      <c r="D134" s="75">
        <f>(C66*(1-'5.Closing Stock &amp; W Capital'!$D$15))*$C$134*D$124</f>
        <v>0</v>
      </c>
      <c r="E134" s="75">
        <f>((D66*(1-'5.Closing Stock &amp; W Capital'!$D$15))+(C66*'5.Closing Stock &amp; W Capital'!$D$15))*$C$135*E$124</f>
        <v>0</v>
      </c>
      <c r="F134" s="75">
        <f>((E66*(1-'5.Closing Stock &amp; W Capital'!$D$15))+(D66*'5.Closing Stock &amp; W Capital'!$D$15))*$C$135*F$124</f>
        <v>0</v>
      </c>
      <c r="G134" s="75">
        <f>((F66*(1-'5.Closing Stock &amp; W Capital'!$D$15))+(E66*'5.Closing Stock &amp; W Capital'!$D$15))*$C$135*G$124</f>
        <v>0</v>
      </c>
      <c r="H134" s="75">
        <f>((G66*(1-'5.Closing Stock &amp; W Capital'!$D$15))+(F66*'5.Closing Stock &amp; W Capital'!$D$15))*$C$135*H$124</f>
        <v>0</v>
      </c>
      <c r="I134" s="75">
        <f>((H66*(1-'5.Closing Stock &amp; W Capital'!$D$15))+(G66*'5.Closing Stock &amp; W Capital'!$D$15))*$C$135*I$124</f>
        <v>0</v>
      </c>
      <c r="J134" s="75">
        <f>((I66*(1-'5.Closing Stock &amp; W Capital'!$D$15))+(H66*'5.Closing Stock &amp; W Capital'!$D$15))*$C$135*J$124</f>
        <v>0</v>
      </c>
      <c r="K134" s="73"/>
      <c r="U134" s="73"/>
      <c r="V134" s="73"/>
      <c r="W134" s="73"/>
    </row>
    <row r="135" spans="1:23">
      <c r="A135" s="74" t="str">
        <f t="shared" si="51"/>
        <v>Black Gram/Udid</v>
      </c>
      <c r="B135" s="74"/>
      <c r="C135" s="226">
        <v>75</v>
      </c>
      <c r="D135" s="75">
        <f>(C67*(1-'5.Closing Stock &amp; W Capital'!$D$15))*$C$135*D$124</f>
        <v>236957.90625</v>
      </c>
      <c r="E135" s="75">
        <f>((D67*(1-'5.Closing Stock &amp; W Capital'!$D$15))+(C67*'5.Closing Stock &amp; W Capital'!$D$15))*$C$135*E$124</f>
        <v>282526.73437499994</v>
      </c>
      <c r="F135" s="75">
        <f>((E67*(1-'5.Closing Stock &amp; W Capital'!$D$15))+(D67*'5.Closing Stock &amp; W Capital'!$D$15))*$C$135*F$124</f>
        <v>318715.3125</v>
      </c>
      <c r="G135" s="75">
        <f>((F67*(1-'5.Closing Stock &amp; W Capital'!$D$15))+(E67*'5.Closing Stock &amp; W Capital'!$D$15))*$C$135*G$124</f>
        <v>340034.0625</v>
      </c>
      <c r="H135" s="75">
        <f>((G67*(1-'5.Closing Stock &amp; W Capital'!$D$15))+(F67*'5.Closing Stock &amp; W Capital'!$D$15))*$C$135*H$124</f>
        <v>361352.81250000012</v>
      </c>
      <c r="I135" s="75">
        <f>((H67*(1-'5.Closing Stock &amp; W Capital'!$D$15))+(G67*'5.Closing Stock &amp; W Capital'!$D$15))*$C$135*I$124</f>
        <v>382671.56250000012</v>
      </c>
      <c r="J135" s="75">
        <f>((I67*(1-'5.Closing Stock &amp; W Capital'!$D$15))+(H67*'5.Closing Stock &amp; W Capital'!$D$15))*$C$135*J$124</f>
        <v>403990.31250000012</v>
      </c>
      <c r="K135" s="73"/>
      <c r="U135" s="73"/>
      <c r="V135" s="73"/>
      <c r="W135" s="73"/>
    </row>
    <row r="136" spans="1:23">
      <c r="A136" s="74" t="str">
        <f t="shared" si="51"/>
        <v>Bajra</v>
      </c>
      <c r="B136" s="74"/>
      <c r="C136" s="226">
        <v>30</v>
      </c>
      <c r="D136" s="75">
        <f>(C68*(1-'5.Closing Stock &amp; W Capital'!$D$15))*$C$136*D$124</f>
        <v>0</v>
      </c>
      <c r="E136" s="75">
        <f>((D68*(1-'5.Closing Stock &amp; W Capital'!$D$15))+(C68*'5.Closing Stock &amp; W Capital'!$D$15))*$C$136*E$124</f>
        <v>0</v>
      </c>
      <c r="F136" s="75">
        <f>((E68*(1-'5.Closing Stock &amp; W Capital'!$D$15))+(D68*'5.Closing Stock &amp; W Capital'!$D$15))*$C$136*F$124</f>
        <v>0</v>
      </c>
      <c r="G136" s="75">
        <f>((F68*(1-'5.Closing Stock &amp; W Capital'!$D$15))+(E68*'5.Closing Stock &amp; W Capital'!$D$15))*$C$136*G$124</f>
        <v>0</v>
      </c>
      <c r="H136" s="75">
        <f>((G68*(1-'5.Closing Stock &amp; W Capital'!$D$15))+(F68*'5.Closing Stock &amp; W Capital'!$D$15))*$C$136*H$124</f>
        <v>0</v>
      </c>
      <c r="I136" s="75">
        <f>((H68*(1-'5.Closing Stock &amp; W Capital'!$D$15))+(G68*'5.Closing Stock &amp; W Capital'!$D$15))*$C$136*I$124</f>
        <v>0</v>
      </c>
      <c r="J136" s="75">
        <f>((I68*(1-'5.Closing Stock &amp; W Capital'!$D$15))+(H68*'5.Closing Stock &amp; W Capital'!$D$15))*$C$136*J$124</f>
        <v>0</v>
      </c>
      <c r="K136" s="73"/>
      <c r="U136" s="73"/>
      <c r="V136" s="73"/>
      <c r="W136" s="73"/>
    </row>
    <row r="137" spans="1:23">
      <c r="A137" s="74" t="str">
        <f t="shared" si="51"/>
        <v>Jawar</v>
      </c>
      <c r="B137" s="74"/>
      <c r="C137" s="226">
        <v>30</v>
      </c>
      <c r="D137" s="75">
        <f>(C69*(1-'5.Closing Stock &amp; W Capital'!$D$15))*$C$137*D$124</f>
        <v>0</v>
      </c>
      <c r="E137" s="75">
        <f>((D69*(1-'5.Closing Stock &amp; W Capital'!$D$15))+(C69*'5.Closing Stock &amp; W Capital'!$D$15))*$C$137*E$124</f>
        <v>0</v>
      </c>
      <c r="F137" s="75">
        <f>((E69*(1-'5.Closing Stock &amp; W Capital'!$D$15))+(D69*'5.Closing Stock &amp; W Capital'!$D$15))*$C$137*F$124</f>
        <v>0</v>
      </c>
      <c r="G137" s="75">
        <f>((F69*(1-'5.Closing Stock &amp; W Capital'!$D$15))+(E69*'5.Closing Stock &amp; W Capital'!$D$15))*$C$137*G$124</f>
        <v>0</v>
      </c>
      <c r="H137" s="75">
        <f>((G69*(1-'5.Closing Stock &amp; W Capital'!$D$15))+(F69*'5.Closing Stock &amp; W Capital'!$D$15))*$C$137*H$124</f>
        <v>0</v>
      </c>
      <c r="I137" s="75">
        <f>((H69*(1-'5.Closing Stock &amp; W Capital'!$D$15))+(G69*'5.Closing Stock &amp; W Capital'!$D$15))*$C$137*I$124</f>
        <v>0</v>
      </c>
      <c r="J137" s="75">
        <f>((I69*(1-'5.Closing Stock &amp; W Capital'!$D$15))+(H69*'5.Closing Stock &amp; W Capital'!$D$15))*$C$137*J$124</f>
        <v>0</v>
      </c>
      <c r="K137" s="73"/>
      <c r="U137" s="73"/>
      <c r="V137" s="73"/>
      <c r="W137" s="73"/>
    </row>
    <row r="138" spans="1:23">
      <c r="A138" s="76" t="str">
        <f t="shared" si="51"/>
        <v>Rabi Crop</v>
      </c>
      <c r="B138" s="74"/>
      <c r="C138" s="226"/>
      <c r="D138" s="75"/>
      <c r="E138" s="75"/>
      <c r="F138" s="75"/>
      <c r="G138" s="75"/>
      <c r="H138" s="75"/>
      <c r="I138" s="75"/>
      <c r="J138" s="75"/>
      <c r="K138" s="73"/>
      <c r="U138" s="73"/>
      <c r="V138" s="73"/>
      <c r="W138" s="73"/>
    </row>
    <row r="139" spans="1:23">
      <c r="A139" s="74" t="str">
        <f t="shared" si="51"/>
        <v>Wheat</v>
      </c>
      <c r="B139" s="74"/>
      <c r="C139" s="226">
        <v>40</v>
      </c>
      <c r="D139" s="75">
        <f>(C71*(1-'5.Closing Stock &amp; W Capital'!$D$15))*$C$139*D$124</f>
        <v>101102.04</v>
      </c>
      <c r="E139" s="75">
        <f>((D71*(1-'5.Closing Stock &amp; W Capital'!$D$15))+(C71*'5.Closing Stock &amp; W Capital'!$D$15))*$C$139*E$124</f>
        <v>120544.73999999999</v>
      </c>
      <c r="F139" s="75">
        <f>((E71*(1-'5.Closing Stock &amp; W Capital'!$D$15))+(D71*'5.Closing Stock &amp; W Capital'!$D$15))*$C$139*F$124</f>
        <v>135985.19999999998</v>
      </c>
      <c r="G139" s="75">
        <f>((F71*(1-'5.Closing Stock &amp; W Capital'!$D$15))+(E71*'5.Closing Stock &amp; W Capital'!$D$15))*$C$139*G$124</f>
        <v>145081.20000000001</v>
      </c>
      <c r="H139" s="75">
        <f>((G71*(1-'5.Closing Stock &amp; W Capital'!$D$15))+(F71*'5.Closing Stock &amp; W Capital'!$D$15))*$C$139*H$124</f>
        <v>154177.20000000001</v>
      </c>
      <c r="I139" s="75">
        <f>((H71*(1-'5.Closing Stock &amp; W Capital'!$D$15))+(G71*'5.Closing Stock &amp; W Capital'!$D$15))*$C$139*I$124</f>
        <v>163273.20000000001</v>
      </c>
      <c r="J139" s="75">
        <f>((I71*(1-'5.Closing Stock &amp; W Capital'!$D$15))+(H71*'5.Closing Stock &amp; W Capital'!$D$15))*$C$139*J$124</f>
        <v>172369.2</v>
      </c>
      <c r="K139" s="73"/>
      <c r="U139" s="73"/>
      <c r="V139" s="73"/>
      <c r="W139" s="73"/>
    </row>
    <row r="140" spans="1:23">
      <c r="A140" s="74" t="str">
        <f t="shared" si="51"/>
        <v>Bengal Gram/Channa</v>
      </c>
      <c r="B140" s="74"/>
      <c r="C140" s="226">
        <v>75</v>
      </c>
      <c r="D140" s="75">
        <f>(C72*(1-'5.Closing Stock &amp; W Capital'!$D$15))*$C$140*D$124</f>
        <v>533155.28906250012</v>
      </c>
      <c r="E140" s="75">
        <f>((D72*(1-'5.Closing Stock &amp; W Capital'!$D$15))+(C72*'5.Closing Stock &amp; W Capital'!$D$15))*$C$140*E$124</f>
        <v>635685.15234375</v>
      </c>
      <c r="F140" s="75">
        <f>((E72*(1-'5.Closing Stock &amp; W Capital'!$D$15))+(D72*'5.Closing Stock &amp; W Capital'!$D$15))*$C$140*F$124</f>
        <v>717109.453125</v>
      </c>
      <c r="G140" s="75">
        <f>((F72*(1-'5.Closing Stock &amp; W Capital'!$D$15))+(E72*'5.Closing Stock &amp; W Capital'!$D$15))*$C$140*G$124</f>
        <v>765076.640625</v>
      </c>
      <c r="H140" s="75">
        <f>((G72*(1-'5.Closing Stock &amp; W Capital'!$D$15))+(F72*'5.Closing Stock &amp; W Capital'!$D$15))*$C$140*H$124</f>
        <v>813043.82812499988</v>
      </c>
      <c r="I140" s="75">
        <f>((H72*(1-'5.Closing Stock &amp; W Capital'!$D$15))+(G72*'5.Closing Stock &amp; W Capital'!$D$15))*$C$140*I$124</f>
        <v>861011.015625</v>
      </c>
      <c r="J140" s="75">
        <f>((I72*(1-'5.Closing Stock &amp; W Capital'!$D$15))+(H72*'5.Closing Stock &amp; W Capital'!$D$15))*$C$140*J$124</f>
        <v>908978.20312500012</v>
      </c>
      <c r="K140" s="73"/>
      <c r="U140" s="73"/>
      <c r="V140" s="73"/>
      <c r="W140" s="73"/>
    </row>
    <row r="141" spans="1:23">
      <c r="A141" s="74" t="str">
        <f t="shared" si="51"/>
        <v>Jawar</v>
      </c>
      <c r="B141" s="74"/>
      <c r="C141" s="226">
        <v>27</v>
      </c>
      <c r="D141" s="75">
        <f>(C73*(1-'5.Closing Stock &amp; W Capital'!$D$15))*$C$141*D$124</f>
        <v>0</v>
      </c>
      <c r="E141" s="75">
        <f>((D73*(1-'5.Closing Stock &amp; W Capital'!$D$15))+(C73*'5.Closing Stock &amp; W Capital'!$D$15))*$C$141*E$124</f>
        <v>0</v>
      </c>
      <c r="F141" s="75">
        <f>((E73*(1-'5.Closing Stock &amp; W Capital'!$D$15))+(D73*'5.Closing Stock &amp; W Capital'!$D$15))*$C$141*F$124</f>
        <v>0</v>
      </c>
      <c r="G141" s="75">
        <f>((F73*(1-'5.Closing Stock &amp; W Capital'!$D$15))+(E73*'5.Closing Stock &amp; W Capital'!$D$15))*$C$141*G$124</f>
        <v>0</v>
      </c>
      <c r="H141" s="75">
        <f>((G73*(1-'5.Closing Stock &amp; W Capital'!$D$15))+(F73*'5.Closing Stock &amp; W Capital'!$D$15))*$C$141*H$124</f>
        <v>0</v>
      </c>
      <c r="I141" s="75">
        <f>((H73*(1-'5.Closing Stock &amp; W Capital'!$D$15))+(G73*'5.Closing Stock &amp; W Capital'!$D$15))*$C$141*I$124</f>
        <v>0</v>
      </c>
      <c r="J141" s="75">
        <f>((I73*(1-'5.Closing Stock &amp; W Capital'!$D$15))+(H73*'5.Closing Stock &amp; W Capital'!$D$15))*$C$141*J$124</f>
        <v>0</v>
      </c>
      <c r="K141" s="73"/>
      <c r="U141" s="73"/>
      <c r="V141" s="73"/>
      <c r="W141" s="73"/>
    </row>
    <row r="142" spans="1:23">
      <c r="A142" s="74" t="str">
        <f t="shared" si="51"/>
        <v>Maize</v>
      </c>
      <c r="B142" s="74"/>
      <c r="C142" s="226">
        <v>27</v>
      </c>
      <c r="D142" s="75">
        <f>(C74*(1-'5.Closing Stock &amp; W Capital'!$D$15))*$C$142*D$124</f>
        <v>0</v>
      </c>
      <c r="E142" s="75">
        <f>((D74*(1-'5.Closing Stock &amp; W Capital'!$D$15))+(C74*'5.Closing Stock &amp; W Capital'!$D$15))*$C$142*E$124</f>
        <v>0</v>
      </c>
      <c r="F142" s="75">
        <f>((E74*(1-'5.Closing Stock &amp; W Capital'!$D$15))+(D74*'5.Closing Stock &amp; W Capital'!$D$15))*$C$142*F$124</f>
        <v>0</v>
      </c>
      <c r="G142" s="75">
        <f>((F74*(1-'5.Closing Stock &amp; W Capital'!$D$15))+(E74*'5.Closing Stock &amp; W Capital'!$D$15))*$C$142*G$124</f>
        <v>0</v>
      </c>
      <c r="H142" s="75">
        <f>((G74*(1-'5.Closing Stock &amp; W Capital'!$D$15))+(F74*'5.Closing Stock &amp; W Capital'!$D$15))*$C$142*H$124</f>
        <v>0</v>
      </c>
      <c r="I142" s="75">
        <f>((H74*(1-'5.Closing Stock &amp; W Capital'!$D$15))+(G74*'5.Closing Stock &amp; W Capital'!$D$15))*$C$142*I$124</f>
        <v>0</v>
      </c>
      <c r="J142" s="75">
        <f>((I74*(1-'5.Closing Stock &amp; W Capital'!$D$15))+(H74*'5.Closing Stock &amp; W Capital'!$D$15))*$C$142*J$124</f>
        <v>0</v>
      </c>
      <c r="K142" s="73"/>
      <c r="U142" s="73"/>
      <c r="V142" s="73"/>
      <c r="W142" s="73"/>
    </row>
    <row r="143" spans="1:23">
      <c r="A143" s="74" t="str">
        <f t="shared" si="51"/>
        <v>Safflower</v>
      </c>
      <c r="B143" s="74"/>
      <c r="C143" s="226"/>
      <c r="D143" s="75">
        <f>(C75*(1-'5.Closing Stock &amp; W Capital'!$D$15))*$C$143*D$124</f>
        <v>0</v>
      </c>
      <c r="E143" s="75">
        <f>((D75*(1-'5.Closing Stock &amp; W Capital'!$D$15))+(C75*'5.Closing Stock &amp; W Capital'!$D$15))*$C$143*E$124</f>
        <v>0</v>
      </c>
      <c r="F143" s="75">
        <f>((E75*(1-'5.Closing Stock &amp; W Capital'!$D$15))+(D75*'5.Closing Stock &amp; W Capital'!$D$15))*$C$143*F$124</f>
        <v>0</v>
      </c>
      <c r="G143" s="75">
        <f>((F75*(1-'5.Closing Stock &amp; W Capital'!$D$15))+(E75*'5.Closing Stock &amp; W Capital'!$D$15))*$C$143*G$124</f>
        <v>0</v>
      </c>
      <c r="H143" s="75">
        <f>((G75*(1-'5.Closing Stock &amp; W Capital'!$D$15))+(F75*'5.Closing Stock &amp; W Capital'!$D$15))*$C$143*H$124</f>
        <v>0</v>
      </c>
      <c r="I143" s="75">
        <f>((H75*(1-'5.Closing Stock &amp; W Capital'!$D$15))+(G75*'5.Closing Stock &amp; W Capital'!$D$15))*$C$143*I$124</f>
        <v>0</v>
      </c>
      <c r="J143" s="75">
        <f>((I75*(1-'5.Closing Stock &amp; W Capital'!$D$15))+(H75*'5.Closing Stock &amp; W Capital'!$D$15))*$C$143*J$124</f>
        <v>0</v>
      </c>
      <c r="K143" s="73"/>
      <c r="U143" s="73"/>
      <c r="V143" s="73"/>
      <c r="W143" s="73"/>
    </row>
    <row r="144" spans="1:23">
      <c r="A144" s="74" t="str">
        <f t="shared" si="51"/>
        <v>Groundnut</v>
      </c>
      <c r="B144" s="74"/>
      <c r="C144" s="226"/>
      <c r="D144" s="75">
        <f>(C76*(1-'5.Closing Stock &amp; W Capital'!$D$15))*$C$144*D$124</f>
        <v>0</v>
      </c>
      <c r="E144" s="75">
        <f>((D76*(1-'5.Closing Stock &amp; W Capital'!$D$15))+(C76*'5.Closing Stock &amp; W Capital'!$D$15))*$C$144*E$124</f>
        <v>0</v>
      </c>
      <c r="F144" s="75">
        <f>((E76*(1-'5.Closing Stock &amp; W Capital'!$D$15))+(D76*'5.Closing Stock &amp; W Capital'!$D$15))*$C$144*F$124</f>
        <v>0</v>
      </c>
      <c r="G144" s="75">
        <f>((F76*(1-'5.Closing Stock &amp; W Capital'!$D$15))+(E76*'5.Closing Stock &amp; W Capital'!$D$15))*$C$144*G$124</f>
        <v>0</v>
      </c>
      <c r="H144" s="75">
        <f>((G76*(1-'5.Closing Stock &amp; W Capital'!$D$15))+(F76*'5.Closing Stock &amp; W Capital'!$D$15))*$C$144*H$124</f>
        <v>0</v>
      </c>
      <c r="I144" s="75">
        <f>((H76*(1-'5.Closing Stock &amp; W Capital'!$D$15))+(G76*'5.Closing Stock &amp; W Capital'!$D$15))*$C$144*I$124</f>
        <v>0</v>
      </c>
      <c r="J144" s="75">
        <f>((I76*(1-'5.Closing Stock &amp; W Capital'!$D$15))+(H76*'5.Closing Stock &amp; W Capital'!$D$15))*$C$144*J$124</f>
        <v>0</v>
      </c>
      <c r="K144" s="73"/>
      <c r="U144" s="73"/>
      <c r="V144" s="73"/>
      <c r="W144" s="73"/>
    </row>
    <row r="145" spans="1:23">
      <c r="A145" s="74">
        <f t="shared" si="51"/>
        <v>0</v>
      </c>
      <c r="B145" s="74"/>
      <c r="C145" s="226"/>
      <c r="D145" s="75">
        <f>(C77*(1-'5.Closing Stock &amp; W Capital'!$D$15))*$C$145*D$124</f>
        <v>0</v>
      </c>
      <c r="E145" s="75">
        <f>((D77*(1-'5.Closing Stock &amp; W Capital'!$D$15))+(C77*'5.Closing Stock &amp; W Capital'!$D$15))*$C$145*E$124</f>
        <v>0</v>
      </c>
      <c r="F145" s="75">
        <f>((E77*(1-'5.Closing Stock &amp; W Capital'!$D$15))+(D77*'5.Closing Stock &amp; W Capital'!$D$15))*$C$145*F$124</f>
        <v>0</v>
      </c>
      <c r="G145" s="75">
        <f>((F77*(1-'5.Closing Stock &amp; W Capital'!$D$15))+(E77*'5.Closing Stock &amp; W Capital'!$D$15))*$C$145*G$124</f>
        <v>0</v>
      </c>
      <c r="H145" s="75">
        <f>((G77*(1-'5.Closing Stock &amp; W Capital'!$D$15))+(F77*'5.Closing Stock &amp; W Capital'!$D$15))*$C$145*H$124</f>
        <v>0</v>
      </c>
      <c r="I145" s="75">
        <f>((H77*(1-'5.Closing Stock &amp; W Capital'!$D$15))+(G77*'5.Closing Stock &amp; W Capital'!$D$15))*$C$145*I$124</f>
        <v>0</v>
      </c>
      <c r="J145" s="75">
        <f>((I77*(1-'5.Closing Stock &amp; W Capital'!$D$15))+(H77*'5.Closing Stock &amp; W Capital'!$D$15))*$C$145*J$124</f>
        <v>0</v>
      </c>
      <c r="K145" s="73"/>
      <c r="U145" s="73"/>
      <c r="V145" s="73"/>
      <c r="W145" s="73"/>
    </row>
    <row r="146" spans="1:23">
      <c r="A146" s="74">
        <f t="shared" si="51"/>
        <v>0</v>
      </c>
      <c r="B146" s="74"/>
      <c r="C146" s="226"/>
      <c r="D146" s="75">
        <f>(C78*(1-'5.Closing Stock &amp; W Capital'!$D$15))*$C$146*D$124</f>
        <v>0</v>
      </c>
      <c r="E146" s="75">
        <f>((D78*(1-'5.Closing Stock &amp; W Capital'!$D$15))+(C78*'5.Closing Stock &amp; W Capital'!$D$15))*$C$146*E$124</f>
        <v>0</v>
      </c>
      <c r="F146" s="75">
        <f>((E78*(1-'5.Closing Stock &amp; W Capital'!$D$15))+(D78*'5.Closing Stock &amp; W Capital'!$D$15))*$C$146*F$124</f>
        <v>0</v>
      </c>
      <c r="G146" s="75">
        <f>((F78*(1-'5.Closing Stock &amp; W Capital'!$D$15))+(E78*'5.Closing Stock &amp; W Capital'!$D$15))*$C$146*G$124</f>
        <v>0</v>
      </c>
      <c r="H146" s="75">
        <f>((G78*(1-'5.Closing Stock &amp; W Capital'!$D$15))+(F78*'5.Closing Stock &amp; W Capital'!$D$15))*$C$146*H$124</f>
        <v>0</v>
      </c>
      <c r="I146" s="75">
        <f>((H78*(1-'5.Closing Stock &amp; W Capital'!$D$15))+(G78*'5.Closing Stock &amp; W Capital'!$D$15))*$C$146*I$124</f>
        <v>0</v>
      </c>
      <c r="J146" s="75">
        <f>((I78*(1-'5.Closing Stock &amp; W Capital'!$D$15))+(H78*'5.Closing Stock &amp; W Capital'!$D$15))*$C$146*J$124</f>
        <v>0</v>
      </c>
      <c r="K146" s="73"/>
      <c r="U146" s="73"/>
      <c r="V146" s="73"/>
      <c r="W146" s="73"/>
    </row>
    <row r="147" spans="1:23">
      <c r="A147" s="76" t="str">
        <f t="shared" si="51"/>
        <v>Summer</v>
      </c>
      <c r="B147" s="74"/>
      <c r="C147" s="226"/>
      <c r="D147" s="75"/>
      <c r="E147" s="75"/>
      <c r="F147" s="75"/>
      <c r="G147" s="75"/>
      <c r="H147" s="75"/>
      <c r="I147" s="75"/>
      <c r="J147" s="75"/>
      <c r="K147" s="73"/>
      <c r="U147" s="73"/>
      <c r="V147" s="73"/>
      <c r="W147" s="73"/>
    </row>
    <row r="148" spans="1:23">
      <c r="A148" s="74" t="str">
        <f t="shared" si="51"/>
        <v>Groundnut</v>
      </c>
      <c r="B148" s="74"/>
      <c r="C148" s="226"/>
      <c r="D148" s="75">
        <f>(C80*(1-'5.Closing Stock &amp; W Capital'!$D$15))*$C$148*D$124</f>
        <v>0</v>
      </c>
      <c r="E148" s="75">
        <f>((D80*(1-'5.Closing Stock &amp; W Capital'!$D$15))+(C80*'5.Closing Stock &amp; W Capital'!$D$15))*$C$148*E$124</f>
        <v>0</v>
      </c>
      <c r="F148" s="75">
        <f>((E80*(1-'5.Closing Stock &amp; W Capital'!$D$15))+(D80*'5.Closing Stock &amp; W Capital'!$D$15))*$C$148*F$124</f>
        <v>0</v>
      </c>
      <c r="G148" s="75">
        <f>((F80*(1-'5.Closing Stock &amp; W Capital'!$D$15))+(E80*'5.Closing Stock &amp; W Capital'!$D$15))*$C$148*G$124</f>
        <v>0</v>
      </c>
      <c r="H148" s="75">
        <f>((G80*(1-'5.Closing Stock &amp; W Capital'!$D$15))+(F80*'5.Closing Stock &amp; W Capital'!$D$15))*$C$148*H$124</f>
        <v>0</v>
      </c>
      <c r="I148" s="75">
        <f>((H80*(1-'5.Closing Stock &amp; W Capital'!$D$15))+(G80*'5.Closing Stock &amp; W Capital'!$D$15))*$C$148*I$124</f>
        <v>0</v>
      </c>
      <c r="J148" s="75">
        <f>((I80*(1-'5.Closing Stock &amp; W Capital'!$D$15))+(H80*'5.Closing Stock &amp; W Capital'!$D$15))*$C$148*J$124</f>
        <v>0</v>
      </c>
      <c r="K148" s="73"/>
      <c r="U148" s="73"/>
      <c r="V148" s="73"/>
      <c r="W148" s="73"/>
    </row>
    <row r="149" spans="1:23">
      <c r="A149" s="74">
        <f t="shared" si="51"/>
        <v>0</v>
      </c>
      <c r="B149" s="74"/>
      <c r="C149" s="226"/>
      <c r="D149" s="75">
        <f>(C81*(1-'5.Closing Stock &amp; W Capital'!$D$15))*$C$149*D$124</f>
        <v>0</v>
      </c>
      <c r="E149" s="75">
        <f>((D81*(1-'5.Closing Stock &amp; W Capital'!$D$15))+(C81*'5.Closing Stock &amp; W Capital'!$D$15))*$C$149*E$124</f>
        <v>0</v>
      </c>
      <c r="F149" s="75">
        <f>((E81*(1-'5.Closing Stock &amp; W Capital'!$D$15))+(D81*'5.Closing Stock &amp; W Capital'!$D$15))*$C$149*F$124</f>
        <v>0</v>
      </c>
      <c r="G149" s="75">
        <f>((F81*(1-'5.Closing Stock &amp; W Capital'!$D$15))+(E81*'5.Closing Stock &amp; W Capital'!$D$15))*$C$149*G$124</f>
        <v>0</v>
      </c>
      <c r="H149" s="75">
        <f>((G81*(1-'5.Closing Stock &amp; W Capital'!$D$15))+(F81*'5.Closing Stock &amp; W Capital'!$D$15))*$C$149*H$124</f>
        <v>0</v>
      </c>
      <c r="I149" s="75">
        <f>((H81*(1-'5.Closing Stock &amp; W Capital'!$D$15))+(G81*'5.Closing Stock &amp; W Capital'!$D$15))*$C$149*I$124</f>
        <v>0</v>
      </c>
      <c r="J149" s="75">
        <f>((I81*(1-'5.Closing Stock &amp; W Capital'!$D$15))+(H81*'5.Closing Stock &amp; W Capital'!$D$15))*$C$149*J$124</f>
        <v>0</v>
      </c>
      <c r="K149" s="73"/>
      <c r="U149" s="73"/>
      <c r="V149" s="73"/>
      <c r="W149" s="73"/>
    </row>
    <row r="150" spans="1:23">
      <c r="A150" s="74">
        <f t="shared" si="51"/>
        <v>0</v>
      </c>
      <c r="B150" s="74"/>
      <c r="C150" s="226"/>
      <c r="D150" s="75">
        <f>(C82*(1-'5.Closing Stock &amp; W Capital'!$D$15))*$C$150*D$124</f>
        <v>0</v>
      </c>
      <c r="E150" s="75">
        <f>((D82*(1-'5.Closing Stock &amp; W Capital'!$D$15))+(C82*'5.Closing Stock &amp; W Capital'!$D$15))*$C$150*E$124</f>
        <v>0</v>
      </c>
      <c r="F150" s="75">
        <f>((E82*(1-'5.Closing Stock &amp; W Capital'!$D$15))+(D82*'5.Closing Stock &amp; W Capital'!$D$15))*$C$150*F$124</f>
        <v>0</v>
      </c>
      <c r="G150" s="75">
        <f>((F82*(1-'5.Closing Stock &amp; W Capital'!$D$15))+(E82*'5.Closing Stock &amp; W Capital'!$D$15))*$C$150*G$124</f>
        <v>0</v>
      </c>
      <c r="H150" s="75">
        <f>((G82*(1-'5.Closing Stock &amp; W Capital'!$D$15))+(F82*'5.Closing Stock &amp; W Capital'!$D$15))*$C$150*H$124</f>
        <v>0</v>
      </c>
      <c r="I150" s="75">
        <f>((H82*(1-'5.Closing Stock &amp; W Capital'!$D$15))+(G82*'5.Closing Stock &amp; W Capital'!$D$15))*$C$150*I$124</f>
        <v>0</v>
      </c>
      <c r="J150" s="75">
        <f>((I82*(1-'5.Closing Stock &amp; W Capital'!$D$15))+(H82*'5.Closing Stock &amp; W Capital'!$D$15))*$C$150*J$124</f>
        <v>0</v>
      </c>
      <c r="K150" s="73"/>
      <c r="U150" s="73"/>
      <c r="V150" s="73"/>
      <c r="W150" s="73"/>
    </row>
    <row r="151" spans="1:23">
      <c r="A151" s="74">
        <f t="shared" si="51"/>
        <v>0</v>
      </c>
      <c r="B151" s="74"/>
      <c r="C151" s="226"/>
      <c r="D151" s="75">
        <f>(C83*(1-'5.Closing Stock &amp; W Capital'!$D$15))*$C$151*D$124</f>
        <v>0</v>
      </c>
      <c r="E151" s="75">
        <f>((D83*(1-'5.Closing Stock &amp; W Capital'!$D$15))+(C83*'5.Closing Stock &amp; W Capital'!$D$15))*$C$151*E$124</f>
        <v>0</v>
      </c>
      <c r="F151" s="75">
        <f>((E83*(1-'5.Closing Stock &amp; W Capital'!$D$15))+(D83*'5.Closing Stock &amp; W Capital'!$D$15))*$C$151*F$124</f>
        <v>0</v>
      </c>
      <c r="G151" s="75">
        <f>((F83*(1-'5.Closing Stock &amp; W Capital'!$D$15))+(E83*'5.Closing Stock &amp; W Capital'!$D$15))*$C$151*G$124</f>
        <v>0</v>
      </c>
      <c r="H151" s="75">
        <f>((G83*(1-'5.Closing Stock &amp; W Capital'!$D$15))+(F83*'5.Closing Stock &amp; W Capital'!$D$15))*$C$151*H$124</f>
        <v>0</v>
      </c>
      <c r="I151" s="75">
        <f>((H83*(1-'5.Closing Stock &amp; W Capital'!$D$15))+(G83*'5.Closing Stock &amp; W Capital'!$D$15))*$C$151*I$124</f>
        <v>0</v>
      </c>
      <c r="J151" s="75">
        <f>((I83*(1-'5.Closing Stock &amp; W Capital'!$D$15))+(H83*'5.Closing Stock &amp; W Capital'!$D$15))*$C$151*J$124</f>
        <v>0</v>
      </c>
      <c r="K151" s="73"/>
      <c r="U151" s="73"/>
      <c r="V151" s="73"/>
      <c r="W151" s="73"/>
    </row>
    <row r="152" spans="1:23">
      <c r="A152" s="74">
        <f t="shared" si="51"/>
        <v>0</v>
      </c>
      <c r="B152" s="74"/>
      <c r="C152" s="226"/>
      <c r="D152" s="75">
        <f>(C84*(1-'5.Closing Stock &amp; W Capital'!$D$15))*$C$152*D$124</f>
        <v>0</v>
      </c>
      <c r="E152" s="75">
        <f>((D84*(1-'5.Closing Stock &amp; W Capital'!$D$15))+(C84*'5.Closing Stock &amp; W Capital'!$D$15))*$C$152*E$124</f>
        <v>0</v>
      </c>
      <c r="F152" s="75">
        <f>((E84*(1-'5.Closing Stock &amp; W Capital'!$D$15))+(D84*'5.Closing Stock &amp; W Capital'!$D$15))*$C$152*F$124</f>
        <v>0</v>
      </c>
      <c r="G152" s="75">
        <f>((F84*(1-'5.Closing Stock &amp; W Capital'!$D$15))+(E84*'5.Closing Stock &amp; W Capital'!$D$15))*$C$152*G$124</f>
        <v>0</v>
      </c>
      <c r="H152" s="75">
        <f>((G84*(1-'5.Closing Stock &amp; W Capital'!$D$15))+(F84*'5.Closing Stock &amp; W Capital'!$D$15))*$C$152*H$124</f>
        <v>0</v>
      </c>
      <c r="I152" s="75">
        <f>((H84*(1-'5.Closing Stock &amp; W Capital'!$D$15))+(G84*'5.Closing Stock &amp; W Capital'!$D$15))*$C$152*I$124</f>
        <v>0</v>
      </c>
      <c r="J152" s="75">
        <f>((I84*(1-'5.Closing Stock &amp; W Capital'!$D$15))+(H84*'5.Closing Stock &amp; W Capital'!$D$15))*$C$152*J$124</f>
        <v>0</v>
      </c>
      <c r="K152" s="73"/>
      <c r="U152" s="73"/>
      <c r="V152" s="73"/>
      <c r="W152" s="73"/>
    </row>
    <row r="153" spans="1:23">
      <c r="A153" s="74" t="str">
        <f t="shared" si="51"/>
        <v>Fruit  &amp; Vegetables Crop Production Details</v>
      </c>
      <c r="B153" s="74"/>
      <c r="C153" s="226"/>
      <c r="D153" s="75"/>
      <c r="E153" s="75"/>
      <c r="F153" s="75"/>
      <c r="G153" s="75"/>
      <c r="H153" s="75"/>
      <c r="I153" s="75"/>
      <c r="J153" s="75"/>
      <c r="K153" s="73"/>
      <c r="U153" s="73"/>
      <c r="V153" s="73"/>
      <c r="W153" s="73"/>
    </row>
    <row r="154" spans="1:23">
      <c r="A154" s="74" t="str">
        <f t="shared" si="51"/>
        <v>Onion</v>
      </c>
      <c r="B154" s="74"/>
      <c r="C154" s="226"/>
      <c r="D154" s="75">
        <f>(C86*(1-'5.Closing Stock &amp; W Capital'!$D$15))*$C154*D$124</f>
        <v>0</v>
      </c>
      <c r="E154" s="75">
        <f>((D86*(1-'5.Closing Stock &amp; W Capital'!$D$15))+(C86*'5.Closing Stock &amp; W Capital'!$D$15))*$C154*E$124</f>
        <v>0</v>
      </c>
      <c r="F154" s="75">
        <f>((E86*(1-'5.Closing Stock &amp; W Capital'!$D$15))+(D86*'5.Closing Stock &amp; W Capital'!$D$15))*$C154*F$124</f>
        <v>0</v>
      </c>
      <c r="G154" s="75">
        <f>((F86*(1-'5.Closing Stock &amp; W Capital'!$D$15))+(E86*'5.Closing Stock &amp; W Capital'!$D$15))*$C154*G$124</f>
        <v>0</v>
      </c>
      <c r="H154" s="75">
        <f>((G86*(1-'5.Closing Stock &amp; W Capital'!$D$15))+(F86*'5.Closing Stock &amp; W Capital'!$D$15))*$C154*H$124</f>
        <v>0</v>
      </c>
      <c r="I154" s="75">
        <f>((H86*(1-'5.Closing Stock &amp; W Capital'!$D$15))+(G86*'5.Closing Stock &amp; W Capital'!$D$15))*$C154*I$124</f>
        <v>0</v>
      </c>
      <c r="J154" s="75">
        <f>((I86*(1-'5.Closing Stock &amp; W Capital'!$D$15))+(H86*'5.Closing Stock &amp; W Capital'!$D$15))*$C154*J$124</f>
        <v>0</v>
      </c>
      <c r="K154" s="73"/>
      <c r="U154" s="73"/>
      <c r="V154" s="73"/>
      <c r="W154" s="73"/>
    </row>
    <row r="155" spans="1:23">
      <c r="A155" s="74" t="str">
        <f t="shared" si="51"/>
        <v>Tomato</v>
      </c>
      <c r="B155" s="74"/>
      <c r="C155" s="226"/>
      <c r="D155" s="75">
        <f>(C87*(1-'5.Closing Stock &amp; W Capital'!$D$15))*$C155*D$124</f>
        <v>0</v>
      </c>
      <c r="E155" s="75">
        <f>((D87*(1-'5.Closing Stock &amp; W Capital'!$D$15))+(C87*'5.Closing Stock &amp; W Capital'!$D$15))*$C155*E$124</f>
        <v>0</v>
      </c>
      <c r="F155" s="75">
        <f>((E87*(1-'5.Closing Stock &amp; W Capital'!$D$15))+(D87*'5.Closing Stock &amp; W Capital'!$D$15))*$C155*F$124</f>
        <v>0</v>
      </c>
      <c r="G155" s="75">
        <f>((F87*(1-'5.Closing Stock &amp; W Capital'!$D$15))+(E87*'5.Closing Stock &amp; W Capital'!$D$15))*$C155*G$124</f>
        <v>0</v>
      </c>
      <c r="H155" s="75">
        <f>((G87*(1-'5.Closing Stock &amp; W Capital'!$D$15))+(F87*'5.Closing Stock &amp; W Capital'!$D$15))*$C155*H$124</f>
        <v>0</v>
      </c>
      <c r="I155" s="75">
        <f>((H87*(1-'5.Closing Stock &amp; W Capital'!$D$15))+(G87*'5.Closing Stock &amp; W Capital'!$D$15))*$C155*I$124</f>
        <v>0</v>
      </c>
      <c r="J155" s="75">
        <f>((I87*(1-'5.Closing Stock &amp; W Capital'!$D$15))+(H87*'5.Closing Stock &amp; W Capital'!$D$15))*$C155*J$124</f>
        <v>0</v>
      </c>
      <c r="K155" s="73"/>
      <c r="U155" s="73"/>
      <c r="V155" s="73"/>
      <c r="W155" s="73"/>
    </row>
    <row r="156" spans="1:23">
      <c r="A156" s="74" t="str">
        <f t="shared" si="51"/>
        <v>Okra</v>
      </c>
      <c r="B156" s="74"/>
      <c r="C156" s="226"/>
      <c r="D156" s="75">
        <f>(C88*(1-'5.Closing Stock &amp; W Capital'!$D$15))*$C156*D$124</f>
        <v>0</v>
      </c>
      <c r="E156" s="75">
        <f>((D88*(1-'5.Closing Stock &amp; W Capital'!$D$15))+(C88*'5.Closing Stock &amp; W Capital'!$D$15))*$C156*E$124</f>
        <v>0</v>
      </c>
      <c r="F156" s="75">
        <f>((E88*(1-'5.Closing Stock &amp; W Capital'!$D$15))+(D88*'5.Closing Stock &amp; W Capital'!$D$15))*$C156*F$124</f>
        <v>0</v>
      </c>
      <c r="G156" s="75">
        <f>((F88*(1-'5.Closing Stock &amp; W Capital'!$D$15))+(E88*'5.Closing Stock &amp; W Capital'!$D$15))*$C156*G$124</f>
        <v>0</v>
      </c>
      <c r="H156" s="75">
        <f>((G88*(1-'5.Closing Stock &amp; W Capital'!$D$15))+(F88*'5.Closing Stock &amp; W Capital'!$D$15))*$C156*H$124</f>
        <v>0</v>
      </c>
      <c r="I156" s="75">
        <f>((H88*(1-'5.Closing Stock &amp; W Capital'!$D$15))+(G88*'5.Closing Stock &amp; W Capital'!$D$15))*$C156*I$124</f>
        <v>0</v>
      </c>
      <c r="J156" s="75">
        <f>((I88*(1-'5.Closing Stock &amp; W Capital'!$D$15))+(H88*'5.Closing Stock &amp; W Capital'!$D$15))*$C156*J$124</f>
        <v>0</v>
      </c>
      <c r="K156" s="73"/>
      <c r="U156" s="73"/>
      <c r="V156" s="73"/>
      <c r="W156" s="73"/>
    </row>
    <row r="157" spans="1:23">
      <c r="A157" s="74" t="str">
        <f t="shared" si="51"/>
        <v>Chilli</v>
      </c>
      <c r="B157" s="74"/>
      <c r="C157" s="226"/>
      <c r="D157" s="75">
        <f>(C89*(1-'5.Closing Stock &amp; W Capital'!$D$15))*$C157*D$124</f>
        <v>0</v>
      </c>
      <c r="E157" s="75">
        <f>((D89*(1-'5.Closing Stock &amp; W Capital'!$D$15))+(C89*'5.Closing Stock &amp; W Capital'!$D$15))*$C157*E$124</f>
        <v>0</v>
      </c>
      <c r="F157" s="75">
        <f>((E89*(1-'5.Closing Stock &amp; W Capital'!$D$15))+(D89*'5.Closing Stock &amp; W Capital'!$D$15))*$C157*F$124</f>
        <v>0</v>
      </c>
      <c r="G157" s="75">
        <f>((F89*(1-'5.Closing Stock &amp; W Capital'!$D$15))+(E89*'5.Closing Stock &amp; W Capital'!$D$15))*$C157*G$124</f>
        <v>0</v>
      </c>
      <c r="H157" s="75">
        <f>((G89*(1-'5.Closing Stock &amp; W Capital'!$D$15))+(F89*'5.Closing Stock &amp; W Capital'!$D$15))*$C157*H$124</f>
        <v>0</v>
      </c>
      <c r="I157" s="75">
        <f>((H89*(1-'5.Closing Stock &amp; W Capital'!$D$15))+(G89*'5.Closing Stock &amp; W Capital'!$D$15))*$C157*I$124</f>
        <v>0</v>
      </c>
      <c r="J157" s="75">
        <f>((I89*(1-'5.Closing Stock &amp; W Capital'!$D$15))+(H89*'5.Closing Stock &amp; W Capital'!$D$15))*$C157*J$124</f>
        <v>0</v>
      </c>
      <c r="K157" s="73"/>
      <c r="U157" s="73"/>
      <c r="V157" s="73"/>
      <c r="W157" s="73"/>
    </row>
    <row r="158" spans="1:23">
      <c r="A158" s="74" t="str">
        <f t="shared" si="51"/>
        <v>Potato</v>
      </c>
      <c r="B158" s="74"/>
      <c r="C158" s="226"/>
      <c r="D158" s="75">
        <f>(C90*(1-'5.Closing Stock &amp; W Capital'!$D$15))*$C158*D$124</f>
        <v>0</v>
      </c>
      <c r="E158" s="75">
        <f>((D90*(1-'5.Closing Stock &amp; W Capital'!$D$15))+(C90*'5.Closing Stock &amp; W Capital'!$D$15))*$C158*E$124</f>
        <v>0</v>
      </c>
      <c r="F158" s="75">
        <f>((E90*(1-'5.Closing Stock &amp; W Capital'!$D$15))+(D90*'5.Closing Stock &amp; W Capital'!$D$15))*$C158*F$124</f>
        <v>0</v>
      </c>
      <c r="G158" s="75">
        <f>((F90*(1-'5.Closing Stock &amp; W Capital'!$D$15))+(E90*'5.Closing Stock &amp; W Capital'!$D$15))*$C158*G$124</f>
        <v>0</v>
      </c>
      <c r="H158" s="75">
        <f>((G90*(1-'5.Closing Stock &amp; W Capital'!$D$15))+(F90*'5.Closing Stock &amp; W Capital'!$D$15))*$C158*H$124</f>
        <v>0</v>
      </c>
      <c r="I158" s="75">
        <f>((H90*(1-'5.Closing Stock &amp; W Capital'!$D$15))+(G90*'5.Closing Stock &amp; W Capital'!$D$15))*$C158*I$124</f>
        <v>0</v>
      </c>
      <c r="J158" s="75">
        <f>((I90*(1-'5.Closing Stock &amp; W Capital'!$D$15))+(H90*'5.Closing Stock &amp; W Capital'!$D$15))*$C158*J$124</f>
        <v>0</v>
      </c>
      <c r="K158" s="73"/>
      <c r="U158" s="73"/>
      <c r="V158" s="73"/>
      <c r="W158" s="73"/>
    </row>
    <row r="159" spans="1:23">
      <c r="A159" s="74">
        <f t="shared" si="51"/>
        <v>0</v>
      </c>
      <c r="B159" s="74"/>
      <c r="C159" s="226"/>
      <c r="D159" s="75">
        <f>(C91*(1-'5.Closing Stock &amp; W Capital'!$D$15))*$C159*D$124</f>
        <v>0</v>
      </c>
      <c r="E159" s="75">
        <f>((D91*(1-'5.Closing Stock &amp; W Capital'!$D$15))+(C91*'5.Closing Stock &amp; W Capital'!$D$15))*$C159*E$124</f>
        <v>0</v>
      </c>
      <c r="F159" s="75">
        <f>((E91*(1-'5.Closing Stock &amp; W Capital'!$D$15))+(D91*'5.Closing Stock &amp; W Capital'!$D$15))*$C159*F$124</f>
        <v>0</v>
      </c>
      <c r="G159" s="75">
        <f>((F91*(1-'5.Closing Stock &amp; W Capital'!$D$15))+(E91*'5.Closing Stock &amp; W Capital'!$D$15))*$C159*G$124</f>
        <v>0</v>
      </c>
      <c r="H159" s="75">
        <f>((G91*(1-'5.Closing Stock &amp; W Capital'!$D$15))+(F91*'5.Closing Stock &amp; W Capital'!$D$15))*$C159*H$124</f>
        <v>0</v>
      </c>
      <c r="I159" s="75">
        <f>((H91*(1-'5.Closing Stock &amp; W Capital'!$D$15))+(G91*'5.Closing Stock &amp; W Capital'!$D$15))*$C159*I$124</f>
        <v>0</v>
      </c>
      <c r="J159" s="75">
        <f>((I91*(1-'5.Closing Stock &amp; W Capital'!$D$15))+(H91*'5.Closing Stock &amp; W Capital'!$D$15))*$C159*J$124</f>
        <v>0</v>
      </c>
      <c r="K159" s="73"/>
      <c r="U159" s="73"/>
      <c r="V159" s="73"/>
      <c r="W159" s="73"/>
    </row>
    <row r="160" spans="1:23">
      <c r="A160" s="74">
        <f t="shared" si="51"/>
        <v>0</v>
      </c>
      <c r="B160" s="74"/>
      <c r="C160" s="226"/>
      <c r="D160" s="75">
        <f>(C92*(1-'5.Closing Stock &amp; W Capital'!$D$15))*$C160*D$124</f>
        <v>0</v>
      </c>
      <c r="E160" s="75">
        <f>((D92*(1-'5.Closing Stock &amp; W Capital'!$D$15))+(C92*'5.Closing Stock &amp; W Capital'!$D$15))*$C160*E$124</f>
        <v>0</v>
      </c>
      <c r="F160" s="75">
        <f>((E92*(1-'5.Closing Stock &amp; W Capital'!$D$15))+(D92*'5.Closing Stock &amp; W Capital'!$D$15))*$C160*F$124</f>
        <v>0</v>
      </c>
      <c r="G160" s="75">
        <f>((F92*(1-'5.Closing Stock &amp; W Capital'!$D$15))+(E92*'5.Closing Stock &amp; W Capital'!$D$15))*$C160*G$124</f>
        <v>0</v>
      </c>
      <c r="H160" s="75">
        <f>((G92*(1-'5.Closing Stock &amp; W Capital'!$D$15))+(F92*'5.Closing Stock &amp; W Capital'!$D$15))*$C160*H$124</f>
        <v>0</v>
      </c>
      <c r="I160" s="75">
        <f>((H92*(1-'5.Closing Stock &amp; W Capital'!$D$15))+(G92*'5.Closing Stock &amp; W Capital'!$D$15))*$C160*I$124</f>
        <v>0</v>
      </c>
      <c r="J160" s="75">
        <f>((I92*(1-'5.Closing Stock &amp; W Capital'!$D$15))+(H92*'5.Closing Stock &amp; W Capital'!$D$15))*$C160*J$124</f>
        <v>0</v>
      </c>
      <c r="K160" s="73"/>
      <c r="U160" s="73"/>
      <c r="V160" s="73"/>
      <c r="W160" s="73"/>
    </row>
    <row r="161" spans="1:23">
      <c r="A161" s="74">
        <f t="shared" ref="A161:A179" si="52">A40</f>
        <v>0</v>
      </c>
      <c r="B161" s="74"/>
      <c r="C161" s="226"/>
      <c r="D161" s="75">
        <f>(C93*(1-'5.Closing Stock &amp; W Capital'!$D$15))*$C161*D$124</f>
        <v>0</v>
      </c>
      <c r="E161" s="75">
        <f>((D93*(1-'5.Closing Stock &amp; W Capital'!$D$15))+(C93*'5.Closing Stock &amp; W Capital'!$D$15))*$C161*E$124</f>
        <v>0</v>
      </c>
      <c r="F161" s="75">
        <f>((E93*(1-'5.Closing Stock &amp; W Capital'!$D$15))+(D93*'5.Closing Stock &amp; W Capital'!$D$15))*$C161*F$124</f>
        <v>0</v>
      </c>
      <c r="G161" s="75">
        <f>((F93*(1-'5.Closing Stock &amp; W Capital'!$D$15))+(E93*'5.Closing Stock &amp; W Capital'!$D$15))*$C161*G$124</f>
        <v>0</v>
      </c>
      <c r="H161" s="75">
        <f>((G93*(1-'5.Closing Stock &amp; W Capital'!$D$15))+(F93*'5.Closing Stock &amp; W Capital'!$D$15))*$C161*H$124</f>
        <v>0</v>
      </c>
      <c r="I161" s="75">
        <f>((H93*(1-'5.Closing Stock &amp; W Capital'!$D$15))+(G93*'5.Closing Stock &amp; W Capital'!$D$15))*$C161*I$124</f>
        <v>0</v>
      </c>
      <c r="J161" s="75">
        <f>((I93*(1-'5.Closing Stock &amp; W Capital'!$D$15))+(H93*'5.Closing Stock &amp; W Capital'!$D$15))*$C161*J$124</f>
        <v>0</v>
      </c>
      <c r="K161" s="73"/>
      <c r="U161" s="73"/>
      <c r="V161" s="73"/>
      <c r="W161" s="73"/>
    </row>
    <row r="162" spans="1:23">
      <c r="A162" s="74">
        <f t="shared" si="52"/>
        <v>0</v>
      </c>
      <c r="B162" s="74"/>
      <c r="C162" s="226"/>
      <c r="D162" s="75">
        <f>(C94*(1-'5.Closing Stock &amp; W Capital'!$D$15))*$C162*D$124</f>
        <v>0</v>
      </c>
      <c r="E162" s="75">
        <f>((D94*(1-'5.Closing Stock &amp; W Capital'!$D$15))+(C94*'5.Closing Stock &amp; W Capital'!$D$15))*$C162*E$124</f>
        <v>0</v>
      </c>
      <c r="F162" s="75">
        <f>((E94*(1-'5.Closing Stock &amp; W Capital'!$D$15))+(D94*'5.Closing Stock &amp; W Capital'!$D$15))*$C162*F$124</f>
        <v>0</v>
      </c>
      <c r="G162" s="75">
        <f>((F94*(1-'5.Closing Stock &amp; W Capital'!$D$15))+(E94*'5.Closing Stock &amp; W Capital'!$D$15))*$C162*G$124</f>
        <v>0</v>
      </c>
      <c r="H162" s="75">
        <f>((G94*(1-'5.Closing Stock &amp; W Capital'!$D$15))+(F94*'5.Closing Stock &amp; W Capital'!$D$15))*$C162*H$124</f>
        <v>0</v>
      </c>
      <c r="I162" s="75">
        <f>((H94*(1-'5.Closing Stock &amp; W Capital'!$D$15))+(G94*'5.Closing Stock &amp; W Capital'!$D$15))*$C162*I$124</f>
        <v>0</v>
      </c>
      <c r="J162" s="75">
        <f>((I94*(1-'5.Closing Stock &amp; W Capital'!$D$15))+(H94*'5.Closing Stock &amp; W Capital'!$D$15))*$C162*J$124</f>
        <v>0</v>
      </c>
      <c r="K162" s="73"/>
      <c r="U162" s="73"/>
      <c r="V162" s="73"/>
      <c r="W162" s="73"/>
    </row>
    <row r="163" spans="1:23">
      <c r="A163" s="74" t="str">
        <f t="shared" si="52"/>
        <v>Onion</v>
      </c>
      <c r="B163" s="74"/>
      <c r="C163" s="226"/>
      <c r="D163" s="75">
        <f>(C95*(1-'5.Closing Stock &amp; W Capital'!$D$15))*$C163*D$124</f>
        <v>0</v>
      </c>
      <c r="E163" s="75">
        <f>((D95*(1-'5.Closing Stock &amp; W Capital'!$D$15))+(C95*'5.Closing Stock &amp; W Capital'!$D$15))*$C163*E$124</f>
        <v>0</v>
      </c>
      <c r="F163" s="75">
        <f>((E95*(1-'5.Closing Stock &amp; W Capital'!$D$15))+(D95*'5.Closing Stock &amp; W Capital'!$D$15))*$C163*F$124</f>
        <v>0</v>
      </c>
      <c r="G163" s="75">
        <f>((F95*(1-'5.Closing Stock &amp; W Capital'!$D$15))+(E95*'5.Closing Stock &amp; W Capital'!$D$15))*$C163*G$124</f>
        <v>0</v>
      </c>
      <c r="H163" s="75">
        <f>((G95*(1-'5.Closing Stock &amp; W Capital'!$D$15))+(F95*'5.Closing Stock &amp; W Capital'!$D$15))*$C163*H$124</f>
        <v>0</v>
      </c>
      <c r="I163" s="75">
        <f>((H95*(1-'5.Closing Stock &amp; W Capital'!$D$15))+(G95*'5.Closing Stock &amp; W Capital'!$D$15))*$C163*I$124</f>
        <v>0</v>
      </c>
      <c r="J163" s="75">
        <f>((I95*(1-'5.Closing Stock &amp; W Capital'!$D$15))+(H95*'5.Closing Stock &amp; W Capital'!$D$15))*$C163*J$124</f>
        <v>0</v>
      </c>
      <c r="K163" s="73"/>
      <c r="U163" s="73"/>
      <c r="V163" s="73"/>
      <c r="W163" s="73"/>
    </row>
    <row r="164" spans="1:23">
      <c r="A164" s="74" t="str">
        <f t="shared" si="52"/>
        <v>Tomato</v>
      </c>
      <c r="B164" s="74"/>
      <c r="C164" s="226"/>
      <c r="D164" s="75">
        <f>(C96*(1-'5.Closing Stock &amp; W Capital'!$D$15))*$C164*D$124</f>
        <v>0</v>
      </c>
      <c r="E164" s="75">
        <f>((D96*(1-'5.Closing Stock &amp; W Capital'!$D$15))+(C96*'5.Closing Stock &amp; W Capital'!$D$15))*$C164*E$124</f>
        <v>0</v>
      </c>
      <c r="F164" s="75">
        <f>((E96*(1-'5.Closing Stock &amp; W Capital'!$D$15))+(D96*'5.Closing Stock &amp; W Capital'!$D$15))*$C164*F$124</f>
        <v>0</v>
      </c>
      <c r="G164" s="75">
        <f>((F96*(1-'5.Closing Stock &amp; W Capital'!$D$15))+(E96*'5.Closing Stock &amp; W Capital'!$D$15))*$C164*G$124</f>
        <v>0</v>
      </c>
      <c r="H164" s="75">
        <f>((G96*(1-'5.Closing Stock &amp; W Capital'!$D$15))+(F96*'5.Closing Stock &amp; W Capital'!$D$15))*$C164*H$124</f>
        <v>0</v>
      </c>
      <c r="I164" s="75">
        <f>((H96*(1-'5.Closing Stock &amp; W Capital'!$D$15))+(G96*'5.Closing Stock &amp; W Capital'!$D$15))*$C164*I$124</f>
        <v>0</v>
      </c>
      <c r="J164" s="75">
        <f>((I96*(1-'5.Closing Stock &amp; W Capital'!$D$15))+(H96*'5.Closing Stock &amp; W Capital'!$D$15))*$C164*J$124</f>
        <v>0</v>
      </c>
      <c r="K164" s="73"/>
      <c r="U164" s="73"/>
      <c r="V164" s="73"/>
      <c r="W164" s="73"/>
    </row>
    <row r="165" spans="1:23">
      <c r="A165" s="74" t="str">
        <f t="shared" si="52"/>
        <v>Okra</v>
      </c>
      <c r="B165" s="74"/>
      <c r="C165" s="226"/>
      <c r="D165" s="75">
        <f>(C97*(1-'5.Closing Stock &amp; W Capital'!$D$15))*$C165*D$124</f>
        <v>0</v>
      </c>
      <c r="E165" s="75">
        <f>((D97*(1-'5.Closing Stock &amp; W Capital'!$D$15))+(C97*'5.Closing Stock &amp; W Capital'!$D$15))*$C165*E$124</f>
        <v>0</v>
      </c>
      <c r="F165" s="75">
        <f>((E97*(1-'5.Closing Stock &amp; W Capital'!$D$15))+(D97*'5.Closing Stock &amp; W Capital'!$D$15))*$C165*F$124</f>
        <v>0</v>
      </c>
      <c r="G165" s="75">
        <f>((F97*(1-'5.Closing Stock &amp; W Capital'!$D$15))+(E97*'5.Closing Stock &amp; W Capital'!$D$15))*$C165*G$124</f>
        <v>0</v>
      </c>
      <c r="H165" s="75">
        <f>((G97*(1-'5.Closing Stock &amp; W Capital'!$D$15))+(F97*'5.Closing Stock &amp; W Capital'!$D$15))*$C165*H$124</f>
        <v>0</v>
      </c>
      <c r="I165" s="75">
        <f>((H97*(1-'5.Closing Stock &amp; W Capital'!$D$15))+(G97*'5.Closing Stock &amp; W Capital'!$D$15))*$C165*I$124</f>
        <v>0</v>
      </c>
      <c r="J165" s="75">
        <f>((I97*(1-'5.Closing Stock &amp; W Capital'!$D$15))+(H97*'5.Closing Stock &amp; W Capital'!$D$15))*$C165*J$124</f>
        <v>0</v>
      </c>
      <c r="K165" s="73"/>
      <c r="U165" s="73"/>
      <c r="V165" s="73"/>
      <c r="W165" s="73"/>
    </row>
    <row r="166" spans="1:23">
      <c r="A166" s="74" t="str">
        <f t="shared" si="52"/>
        <v>Chilli</v>
      </c>
      <c r="B166" s="74"/>
      <c r="C166" s="226"/>
      <c r="D166" s="75">
        <f>(C98*(1-'5.Closing Stock &amp; W Capital'!$D$15))*$C166*D$124</f>
        <v>0</v>
      </c>
      <c r="E166" s="75">
        <f>((D98*(1-'5.Closing Stock &amp; W Capital'!$D$15))+(C98*'5.Closing Stock &amp; W Capital'!$D$15))*$C166*E$124</f>
        <v>0</v>
      </c>
      <c r="F166" s="75">
        <f>((E98*(1-'5.Closing Stock &amp; W Capital'!$D$15))+(D98*'5.Closing Stock &amp; W Capital'!$D$15))*$C166*F$124</f>
        <v>0</v>
      </c>
      <c r="G166" s="75">
        <f>((F98*(1-'5.Closing Stock &amp; W Capital'!$D$15))+(E98*'5.Closing Stock &amp; W Capital'!$D$15))*$C166*G$124</f>
        <v>0</v>
      </c>
      <c r="H166" s="75">
        <f>((G98*(1-'5.Closing Stock &amp; W Capital'!$D$15))+(F98*'5.Closing Stock &amp; W Capital'!$D$15))*$C166*H$124</f>
        <v>0</v>
      </c>
      <c r="I166" s="75">
        <f>((H98*(1-'5.Closing Stock &amp; W Capital'!$D$15))+(G98*'5.Closing Stock &amp; W Capital'!$D$15))*$C166*I$124</f>
        <v>0</v>
      </c>
      <c r="J166" s="75">
        <f>((I98*(1-'5.Closing Stock &amp; W Capital'!$D$15))+(H98*'5.Closing Stock &amp; W Capital'!$D$15))*$C166*J$124</f>
        <v>0</v>
      </c>
      <c r="K166" s="73"/>
      <c r="U166" s="73"/>
      <c r="V166" s="73"/>
      <c r="W166" s="73"/>
    </row>
    <row r="167" spans="1:23">
      <c r="A167" s="74" t="str">
        <f t="shared" si="52"/>
        <v>Brinjal</v>
      </c>
      <c r="B167" s="74"/>
      <c r="C167" s="226"/>
      <c r="D167" s="75">
        <f>(C99*(1-'5.Closing Stock &amp; W Capital'!$D$15))*$C167*D$124</f>
        <v>0</v>
      </c>
      <c r="E167" s="75">
        <f>((D99*(1-'5.Closing Stock &amp; W Capital'!$D$15))+(C99*'5.Closing Stock &amp; W Capital'!$D$15))*$C167*E$124</f>
        <v>0</v>
      </c>
      <c r="F167" s="75">
        <f>((E99*(1-'5.Closing Stock &amp; W Capital'!$D$15))+(D99*'5.Closing Stock &amp; W Capital'!$D$15))*$C167*F$124</f>
        <v>0</v>
      </c>
      <c r="G167" s="75">
        <f>((F99*(1-'5.Closing Stock &amp; W Capital'!$D$15))+(E99*'5.Closing Stock &amp; W Capital'!$D$15))*$C167*G$124</f>
        <v>0</v>
      </c>
      <c r="H167" s="75">
        <f>((G99*(1-'5.Closing Stock &amp; W Capital'!$D$15))+(F99*'5.Closing Stock &amp; W Capital'!$D$15))*$C167*H$124</f>
        <v>0</v>
      </c>
      <c r="I167" s="75">
        <f>((H99*(1-'5.Closing Stock &amp; W Capital'!$D$15))+(G99*'5.Closing Stock &amp; W Capital'!$D$15))*$C167*I$124</f>
        <v>0</v>
      </c>
      <c r="J167" s="75">
        <f>((I99*(1-'5.Closing Stock &amp; W Capital'!$D$15))+(H99*'5.Closing Stock &amp; W Capital'!$D$15))*$C167*J$124</f>
        <v>0</v>
      </c>
      <c r="K167" s="73"/>
      <c r="U167" s="73"/>
      <c r="V167" s="73"/>
      <c r="W167" s="73"/>
    </row>
    <row r="168" spans="1:23">
      <c r="A168" s="74">
        <f t="shared" si="52"/>
        <v>0</v>
      </c>
      <c r="B168" s="74"/>
      <c r="C168" s="226"/>
      <c r="D168" s="75">
        <f>(C100*(1-'5.Closing Stock &amp; W Capital'!$D$15))*$C168*D$124</f>
        <v>0</v>
      </c>
      <c r="E168" s="75">
        <f>((D100*(1-'5.Closing Stock &amp; W Capital'!$D$15))+(C100*'5.Closing Stock &amp; W Capital'!$D$15))*$C168*E$124</f>
        <v>0</v>
      </c>
      <c r="F168" s="75">
        <f>((E100*(1-'5.Closing Stock &amp; W Capital'!$D$15))+(D100*'5.Closing Stock &amp; W Capital'!$D$15))*$C168*F$124</f>
        <v>0</v>
      </c>
      <c r="G168" s="75">
        <f>((F100*(1-'5.Closing Stock &amp; W Capital'!$D$15))+(E100*'5.Closing Stock &amp; W Capital'!$D$15))*$C168*G$124</f>
        <v>0</v>
      </c>
      <c r="H168" s="75">
        <f>((G100*(1-'5.Closing Stock &amp; W Capital'!$D$15))+(F100*'5.Closing Stock &amp; W Capital'!$D$15))*$C168*H$124</f>
        <v>0</v>
      </c>
      <c r="I168" s="75">
        <f>((H100*(1-'5.Closing Stock &amp; W Capital'!$D$15))+(G100*'5.Closing Stock &amp; W Capital'!$D$15))*$C168*I$124</f>
        <v>0</v>
      </c>
      <c r="J168" s="75">
        <f>((I100*(1-'5.Closing Stock &amp; W Capital'!$D$15))+(H100*'5.Closing Stock &amp; W Capital'!$D$15))*$C168*J$124</f>
        <v>0</v>
      </c>
      <c r="K168" s="73"/>
      <c r="U168" s="73"/>
      <c r="V168" s="73"/>
      <c r="W168" s="73"/>
    </row>
    <row r="169" spans="1:23">
      <c r="A169" s="74">
        <f t="shared" si="52"/>
        <v>0</v>
      </c>
      <c r="B169" s="74"/>
      <c r="C169" s="226"/>
      <c r="D169" s="75">
        <f>(C101*(1-'5.Closing Stock &amp; W Capital'!$D$15))*$C169*D$124</f>
        <v>0</v>
      </c>
      <c r="E169" s="75">
        <f>((D101*(1-'5.Closing Stock &amp; W Capital'!$D$15))+(C101*'5.Closing Stock &amp; W Capital'!$D$15))*$C169*E$124</f>
        <v>0</v>
      </c>
      <c r="F169" s="75">
        <f>((E101*(1-'5.Closing Stock &amp; W Capital'!$D$15))+(D101*'5.Closing Stock &amp; W Capital'!$D$15))*$C169*F$124</f>
        <v>0</v>
      </c>
      <c r="G169" s="75">
        <f>((F101*(1-'5.Closing Stock &amp; W Capital'!$D$15))+(E101*'5.Closing Stock &amp; W Capital'!$D$15))*$C169*G$124</f>
        <v>0</v>
      </c>
      <c r="H169" s="75">
        <f>((G101*(1-'5.Closing Stock &amp; W Capital'!$D$15))+(F101*'5.Closing Stock &amp; W Capital'!$D$15))*$C169*H$124</f>
        <v>0</v>
      </c>
      <c r="I169" s="75">
        <f>((H101*(1-'5.Closing Stock &amp; W Capital'!$D$15))+(G101*'5.Closing Stock &amp; W Capital'!$D$15))*$C169*I$124</f>
        <v>0</v>
      </c>
      <c r="J169" s="75">
        <f>((I101*(1-'5.Closing Stock &amp; W Capital'!$D$15))+(H101*'5.Closing Stock &amp; W Capital'!$D$15))*$C169*J$124</f>
        <v>0</v>
      </c>
      <c r="K169" s="73"/>
      <c r="U169" s="73"/>
      <c r="V169" s="73"/>
      <c r="W169" s="73"/>
    </row>
    <row r="170" spans="1:23">
      <c r="A170" s="74">
        <f t="shared" si="52"/>
        <v>0</v>
      </c>
      <c r="B170" s="74"/>
      <c r="C170" s="226"/>
      <c r="D170" s="75">
        <f>(C102*(1-'5.Closing Stock &amp; W Capital'!$D$15))*$C170*D$124</f>
        <v>0</v>
      </c>
      <c r="E170" s="75">
        <f>((D102*(1-'5.Closing Stock &amp; W Capital'!$D$15))+(C102*'5.Closing Stock &amp; W Capital'!$D$15))*$C170*E$124</f>
        <v>0</v>
      </c>
      <c r="F170" s="75">
        <f>((E102*(1-'5.Closing Stock &amp; W Capital'!$D$15))+(D102*'5.Closing Stock &amp; W Capital'!$D$15))*$C170*F$124</f>
        <v>0</v>
      </c>
      <c r="G170" s="75">
        <f>((F102*(1-'5.Closing Stock &amp; W Capital'!$D$15))+(E102*'5.Closing Stock &amp; W Capital'!$D$15))*$C170*G$124</f>
        <v>0</v>
      </c>
      <c r="H170" s="75">
        <f>((G102*(1-'5.Closing Stock &amp; W Capital'!$D$15))+(F102*'5.Closing Stock &amp; W Capital'!$D$15))*$C170*H$124</f>
        <v>0</v>
      </c>
      <c r="I170" s="75">
        <f>((H102*(1-'5.Closing Stock &amp; W Capital'!$D$15))+(G102*'5.Closing Stock &amp; W Capital'!$D$15))*$C170*I$124</f>
        <v>0</v>
      </c>
      <c r="J170" s="75">
        <f>((I102*(1-'5.Closing Stock &amp; W Capital'!$D$15))+(H102*'5.Closing Stock &amp; W Capital'!$D$15))*$C170*J$124</f>
        <v>0</v>
      </c>
      <c r="K170" s="73"/>
      <c r="U170" s="73"/>
      <c r="V170" s="73"/>
      <c r="W170" s="73"/>
    </row>
    <row r="171" spans="1:23">
      <c r="A171" s="74">
        <f t="shared" si="52"/>
        <v>0</v>
      </c>
      <c r="B171" s="74"/>
      <c r="C171" s="226"/>
      <c r="D171" s="75">
        <f>(C103*(1-'5.Closing Stock &amp; W Capital'!$D$15))*$C171*D$124</f>
        <v>0</v>
      </c>
      <c r="E171" s="75">
        <f>((D103*(1-'5.Closing Stock &amp; W Capital'!$D$15))+(C103*'5.Closing Stock &amp; W Capital'!$D$15))*$C171*E$124</f>
        <v>0</v>
      </c>
      <c r="F171" s="75">
        <f>((E103*(1-'5.Closing Stock &amp; W Capital'!$D$15))+(D103*'5.Closing Stock &amp; W Capital'!$D$15))*$C171*F$124</f>
        <v>0</v>
      </c>
      <c r="G171" s="75">
        <f>((F103*(1-'5.Closing Stock &amp; W Capital'!$D$15))+(E103*'5.Closing Stock &amp; W Capital'!$D$15))*$C171*G$124</f>
        <v>0</v>
      </c>
      <c r="H171" s="75">
        <f>((G103*(1-'5.Closing Stock &amp; W Capital'!$D$15))+(F103*'5.Closing Stock &amp; W Capital'!$D$15))*$C171*H$124</f>
        <v>0</v>
      </c>
      <c r="I171" s="75">
        <f>((H103*(1-'5.Closing Stock &amp; W Capital'!$D$15))+(G103*'5.Closing Stock &amp; W Capital'!$D$15))*$C171*I$124</f>
        <v>0</v>
      </c>
      <c r="J171" s="75">
        <f>((I103*(1-'5.Closing Stock &amp; W Capital'!$D$15))+(H103*'5.Closing Stock &amp; W Capital'!$D$15))*$C171*J$124</f>
        <v>0</v>
      </c>
      <c r="K171" s="73"/>
      <c r="U171" s="73"/>
      <c r="V171" s="73"/>
      <c r="W171" s="73"/>
    </row>
    <row r="172" spans="1:23">
      <c r="A172" s="74">
        <f t="shared" si="52"/>
        <v>0</v>
      </c>
      <c r="B172" s="74"/>
      <c r="C172" s="226"/>
      <c r="D172" s="75">
        <f>(C104*(1-'5.Closing Stock &amp; W Capital'!$D$15))*$C172*D$124</f>
        <v>0</v>
      </c>
      <c r="E172" s="75">
        <f>((D104*(1-'5.Closing Stock &amp; W Capital'!$D$15))+(C104*'5.Closing Stock &amp; W Capital'!$D$15))*$C172*E$124</f>
        <v>0</v>
      </c>
      <c r="F172" s="75">
        <f>((E104*(1-'5.Closing Stock &amp; W Capital'!$D$15))+(D104*'5.Closing Stock &amp; W Capital'!$D$15))*$C172*F$124</f>
        <v>0</v>
      </c>
      <c r="G172" s="75">
        <f>((F104*(1-'5.Closing Stock &amp; W Capital'!$D$15))+(E104*'5.Closing Stock &amp; W Capital'!$D$15))*$C172*G$124</f>
        <v>0</v>
      </c>
      <c r="H172" s="75">
        <f>((G104*(1-'5.Closing Stock &amp; W Capital'!$D$15))+(F104*'5.Closing Stock &amp; W Capital'!$D$15))*$C172*H$124</f>
        <v>0</v>
      </c>
      <c r="I172" s="75">
        <f>((H104*(1-'5.Closing Stock &amp; W Capital'!$D$15))+(G104*'5.Closing Stock &amp; W Capital'!$D$15))*$C172*I$124</f>
        <v>0</v>
      </c>
      <c r="J172" s="75">
        <f>((I104*(1-'5.Closing Stock &amp; W Capital'!$D$15))+(H104*'5.Closing Stock &amp; W Capital'!$D$15))*$C172*J$124</f>
        <v>0</v>
      </c>
      <c r="K172" s="73"/>
      <c r="U172" s="73"/>
      <c r="V172" s="73"/>
      <c r="W172" s="73"/>
    </row>
    <row r="173" spans="1:23">
      <c r="A173" s="74">
        <f t="shared" si="52"/>
        <v>0</v>
      </c>
      <c r="B173" s="74"/>
      <c r="C173" s="226"/>
      <c r="D173" s="75">
        <f>(C105*(1-'5.Closing Stock &amp; W Capital'!$D$15))*$C173*D$124</f>
        <v>0</v>
      </c>
      <c r="E173" s="75">
        <f>((D105*(1-'5.Closing Stock &amp; W Capital'!$D$15))+(C105*'5.Closing Stock &amp; W Capital'!$D$15))*$C173*E$124</f>
        <v>0</v>
      </c>
      <c r="F173" s="75">
        <f>((E105*(1-'5.Closing Stock &amp; W Capital'!$D$15))+(D105*'5.Closing Stock &amp; W Capital'!$D$15))*$C173*F$124</f>
        <v>0</v>
      </c>
      <c r="G173" s="75">
        <f>((F105*(1-'5.Closing Stock &amp; W Capital'!$D$15))+(E105*'5.Closing Stock &amp; W Capital'!$D$15))*$C173*G$124</f>
        <v>0</v>
      </c>
      <c r="H173" s="75">
        <f>((G105*(1-'5.Closing Stock &amp; W Capital'!$D$15))+(F105*'5.Closing Stock &amp; W Capital'!$D$15))*$C173*H$124</f>
        <v>0</v>
      </c>
      <c r="I173" s="75">
        <f>((H105*(1-'5.Closing Stock &amp; W Capital'!$D$15))+(G105*'5.Closing Stock &amp; W Capital'!$D$15))*$C173*I$124</f>
        <v>0</v>
      </c>
      <c r="J173" s="75">
        <f>((I105*(1-'5.Closing Stock &amp; W Capital'!$D$15))+(H105*'5.Closing Stock &amp; W Capital'!$D$15))*$C173*J$124</f>
        <v>0</v>
      </c>
      <c r="K173" s="73"/>
      <c r="U173" s="73"/>
      <c r="V173" s="73"/>
      <c r="W173" s="73"/>
    </row>
    <row r="174" spans="1:23">
      <c r="A174" s="74">
        <f t="shared" si="52"/>
        <v>0</v>
      </c>
      <c r="B174" s="74"/>
      <c r="C174" s="226"/>
      <c r="D174" s="75">
        <f>(C106*(1-'5.Closing Stock &amp; W Capital'!$D$15))*$C174*D$124</f>
        <v>0</v>
      </c>
      <c r="E174" s="75">
        <f>((D106*(1-'5.Closing Stock &amp; W Capital'!$D$15))+(C106*'5.Closing Stock &amp; W Capital'!$D$15))*$C174*E$124</f>
        <v>0</v>
      </c>
      <c r="F174" s="75">
        <f>((E106*(1-'5.Closing Stock &amp; W Capital'!$D$15))+(D106*'5.Closing Stock &amp; W Capital'!$D$15))*$C174*F$124</f>
        <v>0</v>
      </c>
      <c r="G174" s="75">
        <f>((F106*(1-'5.Closing Stock &amp; W Capital'!$D$15))+(E106*'5.Closing Stock &amp; W Capital'!$D$15))*$C174*G$124</f>
        <v>0</v>
      </c>
      <c r="H174" s="75">
        <f>((G106*(1-'5.Closing Stock &amp; W Capital'!$D$15))+(F106*'5.Closing Stock &amp; W Capital'!$D$15))*$C174*H$124</f>
        <v>0</v>
      </c>
      <c r="I174" s="75">
        <f>((H106*(1-'5.Closing Stock &amp; W Capital'!$D$15))+(G106*'5.Closing Stock &amp; W Capital'!$D$15))*$C174*I$124</f>
        <v>0</v>
      </c>
      <c r="J174" s="75">
        <f>((I106*(1-'5.Closing Stock &amp; W Capital'!$D$15))+(H106*'5.Closing Stock &amp; W Capital'!$D$15))*$C174*J$124</f>
        <v>0</v>
      </c>
      <c r="K174" s="73"/>
      <c r="U174" s="73"/>
      <c r="V174" s="73"/>
      <c r="W174" s="73"/>
    </row>
    <row r="175" spans="1:23">
      <c r="A175" s="74" t="str">
        <f t="shared" si="52"/>
        <v>Pomegranate</v>
      </c>
      <c r="B175" s="74"/>
      <c r="C175" s="226"/>
      <c r="D175" s="75">
        <f>(C107*(1-'5.Closing Stock &amp; W Capital'!$D$15))*$C175*D$124</f>
        <v>0</v>
      </c>
      <c r="E175" s="75">
        <f>((D107*(1-'5.Closing Stock &amp; W Capital'!$D$15))+(C107*'5.Closing Stock &amp; W Capital'!$D$15))*$C175*E$124</f>
        <v>0</v>
      </c>
      <c r="F175" s="75">
        <f>((E107*(1-'5.Closing Stock &amp; W Capital'!$D$15))+(D107*'5.Closing Stock &amp; W Capital'!$D$15))*$C175*F$124</f>
        <v>0</v>
      </c>
      <c r="G175" s="75">
        <f>((F107*(1-'5.Closing Stock &amp; W Capital'!$D$15))+(E107*'5.Closing Stock &amp; W Capital'!$D$15))*$C175*G$124</f>
        <v>0</v>
      </c>
      <c r="H175" s="75">
        <f>((G107*(1-'5.Closing Stock &amp; W Capital'!$D$15))+(F107*'5.Closing Stock &amp; W Capital'!$D$15))*$C175*H$124</f>
        <v>0</v>
      </c>
      <c r="I175" s="75">
        <f>((H107*(1-'5.Closing Stock &amp; W Capital'!$D$15))+(G107*'5.Closing Stock &amp; W Capital'!$D$15))*$C175*I$124</f>
        <v>0</v>
      </c>
      <c r="J175" s="75">
        <f>((I107*(1-'5.Closing Stock &amp; W Capital'!$D$15))+(H107*'5.Closing Stock &amp; W Capital'!$D$15))*$C175*J$124</f>
        <v>0</v>
      </c>
      <c r="K175" s="73"/>
      <c r="U175" s="73"/>
      <c r="V175" s="73"/>
      <c r="W175" s="73"/>
    </row>
    <row r="176" spans="1:23">
      <c r="A176" s="74" t="str">
        <f t="shared" si="52"/>
        <v>Custard Apple</v>
      </c>
      <c r="B176" s="74"/>
      <c r="C176" s="226"/>
      <c r="D176" s="75">
        <f>(C108*(1-'5.Closing Stock &amp; W Capital'!$D$15))*$C176*D$124</f>
        <v>0</v>
      </c>
      <c r="E176" s="75">
        <f>((D108*(1-'5.Closing Stock &amp; W Capital'!$D$15))+(C108*'5.Closing Stock &amp; W Capital'!$D$15))*$C176*E$124</f>
        <v>0</v>
      </c>
      <c r="F176" s="75">
        <f>((E108*(1-'5.Closing Stock &amp; W Capital'!$D$15))+(D108*'5.Closing Stock &amp; W Capital'!$D$15))*$C176*F$124</f>
        <v>0</v>
      </c>
      <c r="G176" s="75">
        <f>((F108*(1-'5.Closing Stock &amp; W Capital'!$D$15))+(E108*'5.Closing Stock &amp; W Capital'!$D$15))*$C176*G$124</f>
        <v>0</v>
      </c>
      <c r="H176" s="75">
        <f>((G108*(1-'5.Closing Stock &amp; W Capital'!$D$15))+(F108*'5.Closing Stock &amp; W Capital'!$D$15))*$C176*H$124</f>
        <v>0</v>
      </c>
      <c r="I176" s="75">
        <f>((H108*(1-'5.Closing Stock &amp; W Capital'!$D$15))+(G108*'5.Closing Stock &amp; W Capital'!$D$15))*$C176*I$124</f>
        <v>0</v>
      </c>
      <c r="J176" s="75">
        <f>((I108*(1-'5.Closing Stock &amp; W Capital'!$D$15))+(H108*'5.Closing Stock &amp; W Capital'!$D$15))*$C176*J$124</f>
        <v>0</v>
      </c>
      <c r="K176" s="73"/>
      <c r="U176" s="73"/>
      <c r="V176" s="73"/>
      <c r="W176" s="73"/>
    </row>
    <row r="177" spans="1:23">
      <c r="A177" s="74" t="str">
        <f t="shared" si="52"/>
        <v>Guava</v>
      </c>
      <c r="B177" s="74"/>
      <c r="C177" s="226"/>
      <c r="D177" s="75">
        <f>(C109*(1-'5.Closing Stock &amp; W Capital'!$D$15))*$C177*D$124</f>
        <v>0</v>
      </c>
      <c r="E177" s="75">
        <f>((D109*(1-'5.Closing Stock &amp; W Capital'!$D$15))+(C109*'5.Closing Stock &amp; W Capital'!$D$15))*$C177*E$124</f>
        <v>0</v>
      </c>
      <c r="F177" s="75">
        <f>((E109*(1-'5.Closing Stock &amp; W Capital'!$D$15))+(D109*'5.Closing Stock &amp; W Capital'!$D$15))*$C177*F$124</f>
        <v>0</v>
      </c>
      <c r="G177" s="75">
        <f>((F109*(1-'5.Closing Stock &amp; W Capital'!$D$15))+(E109*'5.Closing Stock &amp; W Capital'!$D$15))*$C177*G$124</f>
        <v>0</v>
      </c>
      <c r="H177" s="75">
        <f>((G109*(1-'5.Closing Stock &amp; W Capital'!$D$15))+(F109*'5.Closing Stock &amp; W Capital'!$D$15))*$C177*H$124</f>
        <v>0</v>
      </c>
      <c r="I177" s="75">
        <f>((H109*(1-'5.Closing Stock &amp; W Capital'!$D$15))+(G109*'5.Closing Stock &amp; W Capital'!$D$15))*$C177*I$124</f>
        <v>0</v>
      </c>
      <c r="J177" s="75">
        <f>((I109*(1-'5.Closing Stock &amp; W Capital'!$D$15))+(H109*'5.Closing Stock &amp; W Capital'!$D$15))*$C177*J$124</f>
        <v>0</v>
      </c>
      <c r="K177" s="73"/>
      <c r="U177" s="73"/>
      <c r="V177" s="73"/>
      <c r="W177" s="73"/>
    </row>
    <row r="178" spans="1:23">
      <c r="A178" s="74" t="str">
        <f t="shared" si="52"/>
        <v>Citrus</v>
      </c>
      <c r="B178" s="74"/>
      <c r="C178" s="226"/>
      <c r="D178" s="75">
        <f>(C110*(1-'5.Closing Stock &amp; W Capital'!$D$15))*$C178*D$124</f>
        <v>0</v>
      </c>
      <c r="E178" s="75">
        <f>((D110*(1-'5.Closing Stock &amp; W Capital'!$D$15))+(C110*'5.Closing Stock &amp; W Capital'!$D$15))*$C178*E$124</f>
        <v>0</v>
      </c>
      <c r="F178" s="75">
        <f>((E110*(1-'5.Closing Stock &amp; W Capital'!$D$15))+(D110*'5.Closing Stock &amp; W Capital'!$D$15))*$C178*F$124</f>
        <v>0</v>
      </c>
      <c r="G178" s="75">
        <f>((F110*(1-'5.Closing Stock &amp; W Capital'!$D$15))+(E110*'5.Closing Stock &amp; W Capital'!$D$15))*$C178*G$124</f>
        <v>0</v>
      </c>
      <c r="H178" s="75">
        <f>((G110*(1-'5.Closing Stock &amp; W Capital'!$D$15))+(F110*'5.Closing Stock &amp; W Capital'!$D$15))*$C178*H$124</f>
        <v>0</v>
      </c>
      <c r="I178" s="75">
        <f>((H110*(1-'5.Closing Stock &amp; W Capital'!$D$15))+(G110*'5.Closing Stock &amp; W Capital'!$D$15))*$C178*I$124</f>
        <v>0</v>
      </c>
      <c r="J178" s="75">
        <f>((I110*(1-'5.Closing Stock &amp; W Capital'!$D$15))+(H110*'5.Closing Stock &amp; W Capital'!$D$15))*$C178*J$124</f>
        <v>0</v>
      </c>
      <c r="K178" s="73"/>
      <c r="U178" s="73"/>
      <c r="V178" s="73"/>
      <c r="W178" s="73"/>
    </row>
    <row r="179" spans="1:23">
      <c r="A179" s="74">
        <f t="shared" si="52"/>
        <v>0</v>
      </c>
      <c r="B179" s="74"/>
      <c r="C179" s="226"/>
      <c r="D179" s="75"/>
      <c r="E179" s="75"/>
      <c r="F179" s="75"/>
      <c r="G179" s="75"/>
      <c r="H179" s="75"/>
      <c r="I179" s="75"/>
      <c r="J179" s="75"/>
      <c r="K179" s="73"/>
      <c r="U179" s="73"/>
      <c r="V179" s="73"/>
      <c r="W179" s="73"/>
    </row>
    <row r="180" spans="1:23">
      <c r="A180" s="74"/>
      <c r="B180" s="74"/>
      <c r="C180" s="75"/>
      <c r="D180" s="75"/>
      <c r="E180" s="75"/>
      <c r="F180" s="75"/>
      <c r="G180" s="75"/>
      <c r="H180" s="75"/>
      <c r="I180" s="75"/>
      <c r="J180" s="75"/>
      <c r="K180" s="73"/>
      <c r="U180" s="73"/>
      <c r="V180" s="73"/>
      <c r="W180" s="73"/>
    </row>
    <row r="181" spans="1:23">
      <c r="A181" s="74" t="s">
        <v>284</v>
      </c>
      <c r="B181" s="74"/>
      <c r="C181" s="75" t="s">
        <v>706</v>
      </c>
      <c r="D181" s="75"/>
      <c r="E181" s="75"/>
      <c r="F181" s="75"/>
      <c r="G181" s="75"/>
      <c r="H181" s="75"/>
      <c r="I181" s="75"/>
      <c r="J181" s="75"/>
      <c r="K181" s="73"/>
      <c r="U181" s="73"/>
      <c r="V181" s="73"/>
      <c r="W181" s="73"/>
    </row>
    <row r="182" spans="1:23">
      <c r="A182" s="74" t="s">
        <v>405</v>
      </c>
      <c r="B182" s="74"/>
      <c r="C182" s="226">
        <f>350/50</f>
        <v>7</v>
      </c>
      <c r="D182" s="75">
        <f>(C114*(1-'5.Closing Stock &amp; W Capital'!$D$15))*$C$182*D124</f>
        <v>7943355.5906250002</v>
      </c>
      <c r="E182" s="75">
        <f>((D114*(1-'5.Closing Stock &amp; W Capital'!$D$15))+(C114*'5.Closing Stock &amp; W Capital'!$D$15))*$C$182*E124</f>
        <v>9470923.9734374974</v>
      </c>
      <c r="F182" s="75">
        <f>((E114*(1-'5.Closing Stock &amp; W Capital'!$D$15))+(D114*'5.Closing Stock &amp; W Capital'!$D$15))*$C$182*F124</f>
        <v>10684045.531250002</v>
      </c>
      <c r="G182" s="75">
        <f>((F114*(1-'5.Closing Stock &amp; W Capital'!$D$15))+(E114*'5.Closing Stock &amp; W Capital'!$D$15))*$C$182*G124</f>
        <v>11398697.406250002</v>
      </c>
      <c r="H182" s="75">
        <f>((G114*(1-'5.Closing Stock &amp; W Capital'!$D$15))+(F114*'5.Closing Stock &amp; W Capital'!$D$15))*$C$182*H124</f>
        <v>12113349.281250002</v>
      </c>
      <c r="I182" s="75">
        <f>((H114*(1-'5.Closing Stock &amp; W Capital'!$D$15))+(G114*'5.Closing Stock &amp; W Capital'!$D$15))*$C$182*I124</f>
        <v>12828001.156250004</v>
      </c>
      <c r="J182" s="75">
        <f>((I114*(1-'5.Closing Stock &amp; W Capital'!$D$15))+(H114*'5.Closing Stock &amp; W Capital'!$D$15))*$C$182*J124</f>
        <v>13542653.031250004</v>
      </c>
      <c r="K182" s="73"/>
      <c r="U182" s="73"/>
      <c r="V182" s="73"/>
      <c r="W182" s="73"/>
    </row>
    <row r="183" spans="1:23">
      <c r="A183" s="74" t="s">
        <v>178</v>
      </c>
      <c r="B183" s="74"/>
      <c r="C183" s="226">
        <v>8</v>
      </c>
      <c r="D183" s="75">
        <f>(C115*(1-'5.Closing Stock &amp; W Capital'!$D$15))*$C$183*D124</f>
        <v>3631248.27</v>
      </c>
      <c r="E183" s="75">
        <f>((D115*(1-'5.Closing Stock &amp; W Capital'!$D$15))+(C115*'5.Closing Stock &amp; W Capital'!$D$15))*$C$183*E124</f>
        <v>4329565.2449999992</v>
      </c>
      <c r="F183" s="75">
        <f>((E115*(1-'5.Closing Stock &amp; W Capital'!$D$15))+(D115*'5.Closing Stock &amp; W Capital'!$D$15))*$C$183*F124</f>
        <v>4884135.1000000006</v>
      </c>
      <c r="G183" s="75">
        <f>((F115*(1-'5.Closing Stock &amp; W Capital'!$D$15))+(E115*'5.Closing Stock &amp; W Capital'!$D$15))*$C$183*G124</f>
        <v>5210833.0999999996</v>
      </c>
      <c r="H183" s="75">
        <f>((G115*(1-'5.Closing Stock &amp; W Capital'!$D$15))+(F115*'5.Closing Stock &amp; W Capital'!$D$15))*$C$183*H124</f>
        <v>5537531.1000000006</v>
      </c>
      <c r="I183" s="75">
        <f>((H115*(1-'5.Closing Stock &amp; W Capital'!$D$15))+(G115*'5.Closing Stock &amp; W Capital'!$D$15))*$C$183*I124</f>
        <v>5864229.1000000015</v>
      </c>
      <c r="J183" s="75">
        <f>((I115*(1-'5.Closing Stock &amp; W Capital'!$D$15))+(H115*'5.Closing Stock &amp; W Capital'!$D$15))*$C$183*J124</f>
        <v>6190927.1000000015</v>
      </c>
      <c r="K183" s="73"/>
      <c r="U183" s="73"/>
      <c r="V183" s="73"/>
      <c r="W183" s="73"/>
    </row>
    <row r="184" spans="1:23">
      <c r="A184" s="74" t="s">
        <v>180</v>
      </c>
      <c r="B184" s="74"/>
      <c r="C184" s="226">
        <v>30</v>
      </c>
      <c r="D184" s="75">
        <f>(C116*(1-'5.Closing Stock &amp; W Capital'!$D$15))*$C$184*D124</f>
        <v>6808590.5062500006</v>
      </c>
      <c r="E184" s="75">
        <f>((D116*(1-'5.Closing Stock &amp; W Capital'!$D$15))+(C116*'5.Closing Stock &amp; W Capital'!$D$15))*$C$184*E124</f>
        <v>8117934.8343749996</v>
      </c>
      <c r="F184" s="75">
        <f>((E116*(1-'5.Closing Stock &amp; W Capital'!$D$15))+(D116*'5.Closing Stock &amp; W Capital'!$D$15))*$C$184*F124</f>
        <v>9157753.3125000019</v>
      </c>
      <c r="G184" s="75">
        <f>((F116*(1-'5.Closing Stock &amp; W Capital'!$D$15))+(E116*'5.Closing Stock &amp; W Capital'!$D$15))*$C$184*G124</f>
        <v>9770312.0625</v>
      </c>
      <c r="H184" s="75">
        <f>((G116*(1-'5.Closing Stock &amp; W Capital'!$D$15))+(F116*'5.Closing Stock &amp; W Capital'!$D$15))*$C$184*H124</f>
        <v>10382870.812500002</v>
      </c>
      <c r="I184" s="75">
        <f>((H116*(1-'5.Closing Stock &amp; W Capital'!$D$15))+(G116*'5.Closing Stock &amp; W Capital'!$D$15))*$C$184*I124</f>
        <v>10995429.562500004</v>
      </c>
      <c r="J184" s="75">
        <f>((I116*(1-'5.Closing Stock &amp; W Capital'!$D$15))+(H116*'5.Closing Stock &amp; W Capital'!$D$15))*$C$184*J124</f>
        <v>11607988.312500004</v>
      </c>
      <c r="K184" s="73"/>
      <c r="U184" s="73"/>
      <c r="V184" s="73"/>
      <c r="W184" s="73"/>
    </row>
    <row r="185" spans="1:23">
      <c r="A185" s="74"/>
      <c r="B185" s="74"/>
      <c r="C185" s="75"/>
      <c r="D185" s="75"/>
      <c r="E185" s="75"/>
      <c r="F185" s="75"/>
      <c r="G185" s="75"/>
      <c r="H185" s="75"/>
      <c r="I185" s="75"/>
      <c r="J185" s="75"/>
      <c r="K185" s="73"/>
      <c r="U185" s="73"/>
      <c r="V185" s="73"/>
      <c r="W185" s="73"/>
    </row>
    <row r="186" spans="1:23">
      <c r="A186" s="74" t="s">
        <v>179</v>
      </c>
      <c r="B186" s="74"/>
      <c r="C186" s="75" t="s">
        <v>707</v>
      </c>
      <c r="D186" s="75"/>
      <c r="E186" s="75"/>
      <c r="F186" s="75"/>
      <c r="G186" s="75"/>
      <c r="H186" s="75"/>
      <c r="I186" s="75"/>
      <c r="J186" s="75"/>
      <c r="K186" s="73"/>
      <c r="U186" s="73"/>
      <c r="V186" s="73"/>
      <c r="W186" s="73"/>
    </row>
    <row r="187" spans="1:23">
      <c r="A187" s="74" t="s">
        <v>183</v>
      </c>
      <c r="B187" s="74"/>
      <c r="C187" s="226">
        <v>3000</v>
      </c>
      <c r="D187" s="75">
        <f>(C118*(1-'5.Closing Stock &amp; W Capital'!$D$15))*$C$187*D124</f>
        <v>13617181.012500001</v>
      </c>
      <c r="E187" s="75">
        <f>((D118*(1-'5.Closing Stock &amp; W Capital'!$D$15))+(C118*'5.Closing Stock &amp; W Capital'!$D$15))*$C$187*E124</f>
        <v>16235869.668749999</v>
      </c>
      <c r="F187" s="75">
        <f>((E118*(1-'5.Closing Stock &amp; W Capital'!$D$15))+(D118*'5.Closing Stock &amp; W Capital'!$D$15))*$C$187*F124</f>
        <v>18315506.625000004</v>
      </c>
      <c r="G187" s="75">
        <f>((F118*(1-'5.Closing Stock &amp; W Capital'!$D$15))+(E118*'5.Closing Stock &amp; W Capital'!$D$15))*$C$187*G124</f>
        <v>19540624.125000004</v>
      </c>
      <c r="H187" s="75">
        <f>((G118*(1-'5.Closing Stock &amp; W Capital'!$D$15))+(F118*'5.Closing Stock &amp; W Capital'!$D$15))*$C$187*H124</f>
        <v>20765741.625000004</v>
      </c>
      <c r="I187" s="75">
        <f>((H118*(1-'5.Closing Stock &amp; W Capital'!$D$15))+(G118*'5.Closing Stock &amp; W Capital'!$D$15))*$C$187*I124</f>
        <v>21990859.125000004</v>
      </c>
      <c r="J187" s="75">
        <f>((I118*(1-'5.Closing Stock &amp; W Capital'!$D$15))+(H118*'5.Closing Stock &amp; W Capital'!$D$15))*$C$187*J124</f>
        <v>23215976.625000007</v>
      </c>
      <c r="K187" s="73"/>
      <c r="U187" s="173"/>
      <c r="V187" s="173"/>
      <c r="W187" s="173"/>
    </row>
    <row r="188" spans="1:23">
      <c r="A188" s="74" t="s">
        <v>184</v>
      </c>
      <c r="B188" s="74"/>
      <c r="C188" s="226">
        <v>2200</v>
      </c>
      <c r="D188" s="75">
        <f>(C119*(1-'5.Closing Stock &amp; W Capital'!$D$15))*$C$188*D124</f>
        <v>24964831.856250003</v>
      </c>
      <c r="E188" s="75">
        <f>((D119*(1-'5.Closing Stock &amp; W Capital'!$D$15))+(C119*'5.Closing Stock &amp; W Capital'!$D$15))*$C$188*E124</f>
        <v>29765761.059374992</v>
      </c>
      <c r="F188" s="75">
        <f>((E119*(1-'5.Closing Stock &amp; W Capital'!$D$15))+(D119*'5.Closing Stock &amp; W Capital'!$D$15))*$C$188*F124</f>
        <v>33578428.8125</v>
      </c>
      <c r="G188" s="75">
        <f>((F119*(1-'5.Closing Stock &amp; W Capital'!$D$15))+(E119*'5.Closing Stock &amp; W Capital'!$D$15))*$C$188*G124</f>
        <v>35824477.562500007</v>
      </c>
      <c r="H188" s="75">
        <f>((G119*(1-'5.Closing Stock &amp; W Capital'!$D$15))+(F119*'5.Closing Stock &amp; W Capital'!$D$15))*$C$188*H124</f>
        <v>38070526.3125</v>
      </c>
      <c r="I188" s="75">
        <f>((H119*(1-'5.Closing Stock &amp; W Capital'!$D$15))+(G119*'5.Closing Stock &amp; W Capital'!$D$15))*$C$188*I124</f>
        <v>40316575.0625</v>
      </c>
      <c r="J188" s="75">
        <f>((I119*(1-'5.Closing Stock &amp; W Capital'!$D$15))+(H119*'5.Closing Stock &amp; W Capital'!$D$15))*$C$188*J124</f>
        <v>42562623.812500015</v>
      </c>
      <c r="K188" s="73"/>
      <c r="U188" s="73"/>
      <c r="V188" s="73"/>
      <c r="W188" s="73"/>
    </row>
    <row r="189" spans="1:23">
      <c r="A189" s="74"/>
      <c r="B189" s="74"/>
      <c r="C189" s="75"/>
      <c r="D189" s="75"/>
      <c r="E189" s="75"/>
      <c r="F189" s="75"/>
      <c r="G189" s="75"/>
      <c r="H189" s="75"/>
      <c r="I189" s="75"/>
      <c r="J189" s="75"/>
      <c r="K189" s="73"/>
      <c r="U189" s="73"/>
      <c r="V189" s="73"/>
      <c r="W189" s="73"/>
    </row>
    <row r="190" spans="1:23">
      <c r="A190" s="74"/>
      <c r="B190" s="74"/>
      <c r="C190" s="75"/>
      <c r="D190" s="75"/>
      <c r="E190" s="75"/>
      <c r="F190" s="75"/>
      <c r="G190" s="75"/>
      <c r="H190" s="75"/>
      <c r="I190" s="75"/>
      <c r="J190" s="75"/>
      <c r="K190" s="73"/>
      <c r="U190" s="73"/>
      <c r="V190" s="73"/>
      <c r="W190" s="73"/>
    </row>
    <row r="191" spans="1:23">
      <c r="A191" s="76" t="s">
        <v>143</v>
      </c>
      <c r="B191" s="76"/>
      <c r="C191" s="92"/>
      <c r="D191" s="92">
        <f>SUM(D130:D190)</f>
        <v>58656823.399687506</v>
      </c>
      <c r="E191" s="92">
        <f t="shared" ref="E191:J191" si="53">SUM(E130:E190)</f>
        <v>69936981.745781228</v>
      </c>
      <c r="F191" s="92">
        <f t="shared" si="53"/>
        <v>78895142.584375009</v>
      </c>
      <c r="G191" s="92">
        <f t="shared" si="53"/>
        <v>84172409.646875024</v>
      </c>
      <c r="H191" s="92">
        <f t="shared" si="53"/>
        <v>89449676.709375009</v>
      </c>
      <c r="I191" s="92">
        <f t="shared" si="53"/>
        <v>94726943.771875009</v>
      </c>
      <c r="J191" s="92">
        <f t="shared" si="53"/>
        <v>100004210.83437502</v>
      </c>
      <c r="K191" s="73"/>
      <c r="U191" s="73"/>
      <c r="V191" s="73"/>
      <c r="W191" s="73"/>
    </row>
    <row r="192" spans="1:23">
      <c r="A192" s="74"/>
      <c r="B192" s="74"/>
      <c r="C192" s="75"/>
      <c r="D192" s="75"/>
      <c r="E192" s="75"/>
      <c r="F192" s="75"/>
      <c r="G192" s="75"/>
      <c r="H192" s="75"/>
      <c r="I192" s="75"/>
      <c r="J192" s="75"/>
      <c r="K192" s="73"/>
      <c r="U192" s="73"/>
      <c r="V192" s="73"/>
      <c r="W192" s="73"/>
    </row>
    <row r="193" spans="1:23">
      <c r="A193" s="74"/>
      <c r="B193" s="74"/>
      <c r="C193" s="75"/>
      <c r="D193" s="75"/>
      <c r="E193" s="75"/>
      <c r="F193" s="75"/>
      <c r="G193" s="75"/>
      <c r="H193" s="75"/>
      <c r="I193" s="75"/>
      <c r="J193" s="75"/>
      <c r="K193" s="73"/>
      <c r="U193" s="73"/>
      <c r="V193" s="73"/>
      <c r="W193" s="73"/>
    </row>
    <row r="194" spans="1:23">
      <c r="A194" s="76" t="s">
        <v>142</v>
      </c>
      <c r="B194" s="76"/>
      <c r="C194" s="75"/>
      <c r="D194" s="75"/>
      <c r="E194" s="75"/>
      <c r="F194" s="75"/>
      <c r="G194" s="75"/>
      <c r="H194" s="75"/>
      <c r="I194" s="75"/>
      <c r="J194" s="75"/>
      <c r="K194" s="73"/>
      <c r="U194" s="73"/>
      <c r="V194" s="73"/>
      <c r="W194" s="73"/>
    </row>
    <row r="195" spans="1:23">
      <c r="A195" s="76" t="str">
        <f>A128</f>
        <v>Seeds (Rate/KG)</v>
      </c>
      <c r="B195" s="76"/>
      <c r="C195" s="75"/>
      <c r="D195" s="75"/>
      <c r="E195" s="75"/>
      <c r="F195" s="75"/>
      <c r="G195" s="75"/>
      <c r="H195" s="75"/>
      <c r="I195" s="75"/>
      <c r="J195" s="75"/>
      <c r="K195" s="73"/>
      <c r="U195" s="73"/>
      <c r="V195" s="73"/>
      <c r="W195" s="73"/>
    </row>
    <row r="196" spans="1:23">
      <c r="A196" s="76" t="s">
        <v>308</v>
      </c>
      <c r="B196" s="74"/>
      <c r="C196" s="74"/>
      <c r="D196" s="74"/>
      <c r="E196" s="74"/>
      <c r="F196" s="74"/>
      <c r="G196" s="74"/>
      <c r="H196" s="74"/>
      <c r="I196" s="74"/>
      <c r="J196" s="74"/>
      <c r="K196" s="73"/>
      <c r="U196" s="73"/>
      <c r="V196" s="73"/>
      <c r="W196" s="73"/>
    </row>
    <row r="197" spans="1:23">
      <c r="A197" s="76" t="s">
        <v>709</v>
      </c>
      <c r="B197" s="74"/>
      <c r="C197" s="74"/>
      <c r="D197" s="74"/>
      <c r="E197" s="74"/>
      <c r="F197" s="74"/>
      <c r="G197" s="74"/>
      <c r="H197" s="74"/>
      <c r="I197" s="74"/>
      <c r="J197" s="74"/>
      <c r="K197" s="73"/>
      <c r="U197" s="73"/>
      <c r="V197" s="73"/>
      <c r="W197" s="73"/>
    </row>
    <row r="198" spans="1:23">
      <c r="A198" s="336" t="str">
        <f t="shared" ref="A198:A239" si="54">A130</f>
        <v>Soybean</v>
      </c>
      <c r="B198" s="73"/>
      <c r="C198" s="337">
        <v>85</v>
      </c>
      <c r="D198" s="338">
        <f t="shared" ref="D198:J207" si="55">C62*$C198*D$124</f>
        <v>0</v>
      </c>
      <c r="E198" s="338">
        <f t="shared" si="55"/>
        <v>0</v>
      </c>
      <c r="F198" s="338">
        <f t="shared" si="55"/>
        <v>0</v>
      </c>
      <c r="G198" s="338">
        <f t="shared" si="55"/>
        <v>0</v>
      </c>
      <c r="H198" s="338">
        <f t="shared" si="55"/>
        <v>0</v>
      </c>
      <c r="I198" s="338">
        <f t="shared" si="55"/>
        <v>0</v>
      </c>
      <c r="J198" s="338">
        <f t="shared" si="55"/>
        <v>0</v>
      </c>
      <c r="K198" s="73"/>
      <c r="U198" s="73"/>
      <c r="V198" s="73"/>
      <c r="W198" s="73"/>
    </row>
    <row r="199" spans="1:23">
      <c r="A199" s="74" t="str">
        <f t="shared" si="54"/>
        <v>Red Gram/Tur</v>
      </c>
      <c r="B199" s="74"/>
      <c r="C199" s="226">
        <v>75</v>
      </c>
      <c r="D199" s="75">
        <f t="shared" si="55"/>
        <v>332572.5</v>
      </c>
      <c r="E199" s="75">
        <f t="shared" si="55"/>
        <v>378052.5</v>
      </c>
      <c r="F199" s="75">
        <f t="shared" si="55"/>
        <v>426375.00000000006</v>
      </c>
      <c r="G199" s="75">
        <f t="shared" si="55"/>
        <v>454800.00000000006</v>
      </c>
      <c r="H199" s="75">
        <f t="shared" si="55"/>
        <v>483225.00000000012</v>
      </c>
      <c r="I199" s="75">
        <f t="shared" si="55"/>
        <v>511650.00000000012</v>
      </c>
      <c r="J199" s="75">
        <f t="shared" si="55"/>
        <v>540075.00000000023</v>
      </c>
      <c r="K199" s="73"/>
      <c r="U199" s="73"/>
      <c r="V199" s="73"/>
      <c r="W199" s="73"/>
    </row>
    <row r="200" spans="1:23">
      <c r="A200" s="74" t="str">
        <f t="shared" si="54"/>
        <v>Paddy/Rice</v>
      </c>
      <c r="B200" s="74"/>
      <c r="C200" s="226">
        <v>57</v>
      </c>
      <c r="D200" s="75">
        <f t="shared" si="55"/>
        <v>0</v>
      </c>
      <c r="E200" s="75">
        <f t="shared" si="55"/>
        <v>0</v>
      </c>
      <c r="F200" s="75">
        <f t="shared" si="55"/>
        <v>0</v>
      </c>
      <c r="G200" s="75">
        <f t="shared" si="55"/>
        <v>0</v>
      </c>
      <c r="H200" s="75">
        <f t="shared" si="55"/>
        <v>0</v>
      </c>
      <c r="I200" s="75">
        <f t="shared" si="55"/>
        <v>0</v>
      </c>
      <c r="J200" s="75">
        <f t="shared" si="55"/>
        <v>0</v>
      </c>
      <c r="K200" s="73"/>
      <c r="U200" s="73"/>
      <c r="V200" s="73"/>
      <c r="W200" s="73"/>
    </row>
    <row r="201" spans="1:23">
      <c r="A201" s="74" t="str">
        <f t="shared" si="54"/>
        <v>Green Gram/ Moong</v>
      </c>
      <c r="B201" s="74"/>
      <c r="C201" s="226">
        <v>80</v>
      </c>
      <c r="D201" s="75">
        <f t="shared" si="55"/>
        <v>478904.39999999991</v>
      </c>
      <c r="E201" s="75">
        <f t="shared" si="55"/>
        <v>544395.6</v>
      </c>
      <c r="F201" s="75">
        <f t="shared" si="55"/>
        <v>613980.00000000012</v>
      </c>
      <c r="G201" s="75">
        <f t="shared" si="55"/>
        <v>654912.00000000012</v>
      </c>
      <c r="H201" s="75">
        <f t="shared" si="55"/>
        <v>695844.00000000012</v>
      </c>
      <c r="I201" s="75">
        <f t="shared" si="55"/>
        <v>736776.00000000023</v>
      </c>
      <c r="J201" s="75">
        <f t="shared" si="55"/>
        <v>777708.00000000023</v>
      </c>
      <c r="K201" s="73"/>
      <c r="L201" s="73"/>
      <c r="M201" s="73"/>
      <c r="N201" s="73"/>
      <c r="O201" s="73"/>
      <c r="P201" s="73"/>
      <c r="Q201" s="73"/>
      <c r="R201" s="73"/>
      <c r="S201" s="73"/>
      <c r="T201" s="73"/>
      <c r="U201" s="73"/>
      <c r="V201" s="73"/>
      <c r="W201" s="73"/>
    </row>
    <row r="202" spans="1:23">
      <c r="A202" s="74" t="str">
        <f t="shared" si="54"/>
        <v>Maize</v>
      </c>
      <c r="B202" s="74"/>
      <c r="C202" s="226">
        <v>25</v>
      </c>
      <c r="D202" s="75">
        <f t="shared" si="55"/>
        <v>0</v>
      </c>
      <c r="E202" s="75">
        <f t="shared" si="55"/>
        <v>0</v>
      </c>
      <c r="F202" s="75">
        <f t="shared" si="55"/>
        <v>0</v>
      </c>
      <c r="G202" s="75">
        <f t="shared" si="55"/>
        <v>0</v>
      </c>
      <c r="H202" s="75">
        <f t="shared" si="55"/>
        <v>0</v>
      </c>
      <c r="I202" s="75">
        <f t="shared" si="55"/>
        <v>0</v>
      </c>
      <c r="J202" s="75">
        <f t="shared" si="55"/>
        <v>0</v>
      </c>
      <c r="K202" s="73"/>
      <c r="L202" s="73"/>
      <c r="M202" s="73"/>
      <c r="N202" s="73"/>
      <c r="O202" s="73"/>
      <c r="P202" s="73"/>
      <c r="Q202" s="73"/>
      <c r="R202" s="73"/>
      <c r="S202" s="73"/>
      <c r="T202" s="73"/>
      <c r="U202" s="73"/>
      <c r="V202" s="73"/>
      <c r="W202" s="73"/>
    </row>
    <row r="203" spans="1:23">
      <c r="A203" s="74" t="str">
        <f t="shared" si="54"/>
        <v>Black Gram/Udid</v>
      </c>
      <c r="B203" s="74"/>
      <c r="C203" s="226">
        <v>70</v>
      </c>
      <c r="D203" s="75">
        <f t="shared" si="55"/>
        <v>232800.75</v>
      </c>
      <c r="E203" s="75">
        <f t="shared" si="55"/>
        <v>264636.75</v>
      </c>
      <c r="F203" s="75">
        <f t="shared" si="55"/>
        <v>298462.50000000006</v>
      </c>
      <c r="G203" s="75">
        <f t="shared" si="55"/>
        <v>318360.00000000006</v>
      </c>
      <c r="H203" s="75">
        <f t="shared" si="55"/>
        <v>338257.50000000012</v>
      </c>
      <c r="I203" s="75">
        <f t="shared" si="55"/>
        <v>358155.00000000006</v>
      </c>
      <c r="J203" s="75">
        <f t="shared" si="55"/>
        <v>378052.50000000012</v>
      </c>
      <c r="K203" s="73"/>
      <c r="L203" s="73"/>
      <c r="M203" s="73"/>
      <c r="N203" s="73"/>
      <c r="O203" s="73"/>
      <c r="P203" s="73"/>
      <c r="Q203" s="73"/>
      <c r="R203" s="73"/>
      <c r="S203" s="73"/>
      <c r="T203" s="73"/>
      <c r="U203" s="73"/>
      <c r="V203" s="73"/>
      <c r="W203" s="73"/>
    </row>
    <row r="204" spans="1:23">
      <c r="A204" s="74" t="str">
        <f t="shared" si="54"/>
        <v>Bajra</v>
      </c>
      <c r="B204" s="74"/>
      <c r="C204" s="226">
        <v>25</v>
      </c>
      <c r="D204" s="75">
        <f t="shared" si="55"/>
        <v>0</v>
      </c>
      <c r="E204" s="75">
        <f t="shared" si="55"/>
        <v>0</v>
      </c>
      <c r="F204" s="75">
        <f t="shared" si="55"/>
        <v>0</v>
      </c>
      <c r="G204" s="75">
        <f t="shared" si="55"/>
        <v>0</v>
      </c>
      <c r="H204" s="75">
        <f t="shared" si="55"/>
        <v>0</v>
      </c>
      <c r="I204" s="75">
        <f t="shared" si="55"/>
        <v>0</v>
      </c>
      <c r="J204" s="75">
        <f t="shared" si="55"/>
        <v>0</v>
      </c>
      <c r="K204" s="73"/>
      <c r="L204" s="73"/>
      <c r="M204" s="73"/>
      <c r="N204" s="73"/>
      <c r="O204" s="73"/>
      <c r="P204" s="73"/>
      <c r="Q204" s="73"/>
      <c r="R204" s="73"/>
      <c r="S204" s="73"/>
      <c r="T204" s="73"/>
      <c r="U204" s="73"/>
      <c r="V204" s="73"/>
      <c r="W204" s="73"/>
    </row>
    <row r="205" spans="1:23">
      <c r="A205" s="74" t="str">
        <f t="shared" si="54"/>
        <v>Jawar</v>
      </c>
      <c r="B205" s="74"/>
      <c r="C205" s="226">
        <v>25</v>
      </c>
      <c r="D205" s="75">
        <f t="shared" si="55"/>
        <v>0</v>
      </c>
      <c r="E205" s="75">
        <f t="shared" si="55"/>
        <v>0</v>
      </c>
      <c r="F205" s="75">
        <f t="shared" si="55"/>
        <v>0</v>
      </c>
      <c r="G205" s="75">
        <f t="shared" si="55"/>
        <v>0</v>
      </c>
      <c r="H205" s="75">
        <f t="shared" si="55"/>
        <v>0</v>
      </c>
      <c r="I205" s="75">
        <f t="shared" si="55"/>
        <v>0</v>
      </c>
      <c r="J205" s="75">
        <f t="shared" si="55"/>
        <v>0</v>
      </c>
      <c r="K205" s="73"/>
      <c r="L205" s="73"/>
      <c r="M205" s="73"/>
      <c r="N205" s="73"/>
      <c r="O205" s="73"/>
      <c r="P205" s="73"/>
      <c r="Q205" s="73"/>
      <c r="R205" s="73"/>
      <c r="S205" s="73"/>
      <c r="T205" s="73"/>
      <c r="U205" s="73"/>
      <c r="V205" s="73"/>
      <c r="W205" s="73"/>
    </row>
    <row r="206" spans="1:23">
      <c r="A206" s="76" t="str">
        <f t="shared" si="54"/>
        <v>Rabi Crop</v>
      </c>
      <c r="B206" s="74"/>
      <c r="C206" s="226"/>
      <c r="D206" s="75">
        <f t="shared" si="55"/>
        <v>0</v>
      </c>
      <c r="E206" s="75">
        <f t="shared" si="55"/>
        <v>0</v>
      </c>
      <c r="F206" s="75">
        <f t="shared" si="55"/>
        <v>0</v>
      </c>
      <c r="G206" s="75">
        <f t="shared" si="55"/>
        <v>0</v>
      </c>
      <c r="H206" s="75">
        <f t="shared" si="55"/>
        <v>0</v>
      </c>
      <c r="I206" s="75">
        <f t="shared" si="55"/>
        <v>0</v>
      </c>
      <c r="J206" s="75">
        <f t="shared" si="55"/>
        <v>0</v>
      </c>
      <c r="K206" s="73"/>
      <c r="L206" s="73"/>
      <c r="M206" s="73"/>
      <c r="N206" s="73"/>
      <c r="O206" s="73"/>
      <c r="P206" s="73"/>
      <c r="Q206" s="73"/>
      <c r="R206" s="73"/>
      <c r="S206" s="73"/>
      <c r="T206" s="73"/>
      <c r="U206" s="73"/>
      <c r="V206" s="73"/>
      <c r="W206" s="73"/>
    </row>
    <row r="207" spans="1:23">
      <c r="A207" s="74" t="str">
        <f t="shared" si="54"/>
        <v>Wheat</v>
      </c>
      <c r="B207" s="74"/>
      <c r="C207" s="226">
        <v>35</v>
      </c>
      <c r="D207" s="75">
        <f t="shared" si="55"/>
        <v>93120.3</v>
      </c>
      <c r="E207" s="75">
        <f t="shared" si="55"/>
        <v>105854.70000000001</v>
      </c>
      <c r="F207" s="75">
        <f t="shared" si="55"/>
        <v>119385</v>
      </c>
      <c r="G207" s="75">
        <f t="shared" si="55"/>
        <v>127344.00000000001</v>
      </c>
      <c r="H207" s="75">
        <f t="shared" si="55"/>
        <v>135303</v>
      </c>
      <c r="I207" s="75">
        <f t="shared" si="55"/>
        <v>143262.00000000003</v>
      </c>
      <c r="J207" s="75">
        <f t="shared" si="55"/>
        <v>151221.00000000006</v>
      </c>
      <c r="K207" s="73"/>
      <c r="L207" s="73"/>
      <c r="M207" s="73"/>
      <c r="N207" s="73"/>
      <c r="O207" s="73"/>
      <c r="P207" s="73"/>
      <c r="Q207" s="73"/>
      <c r="R207" s="73"/>
      <c r="S207" s="73"/>
      <c r="T207" s="73"/>
      <c r="U207" s="73"/>
      <c r="V207" s="73"/>
      <c r="W207" s="73"/>
    </row>
    <row r="208" spans="1:23">
      <c r="A208" s="74" t="str">
        <f t="shared" si="54"/>
        <v>Bengal Gram/Channa</v>
      </c>
      <c r="B208" s="74"/>
      <c r="C208" s="226">
        <v>70</v>
      </c>
      <c r="D208" s="75">
        <f t="shared" ref="D208:J217" si="56">C72*$C208*D$124</f>
        <v>523801.68750000012</v>
      </c>
      <c r="E208" s="75">
        <f t="shared" si="56"/>
        <v>595432.6875</v>
      </c>
      <c r="F208" s="75">
        <f t="shared" si="56"/>
        <v>671540.625</v>
      </c>
      <c r="G208" s="75">
        <f t="shared" si="56"/>
        <v>716310</v>
      </c>
      <c r="H208" s="75">
        <f t="shared" si="56"/>
        <v>761079.375</v>
      </c>
      <c r="I208" s="75">
        <f t="shared" si="56"/>
        <v>805848.75000000012</v>
      </c>
      <c r="J208" s="75">
        <f t="shared" si="56"/>
        <v>850618.12500000012</v>
      </c>
      <c r="K208" s="73"/>
      <c r="L208" s="73"/>
      <c r="M208" s="73"/>
      <c r="N208" s="73"/>
      <c r="O208" s="73"/>
      <c r="P208" s="73"/>
      <c r="Q208" s="73"/>
      <c r="R208" s="73"/>
      <c r="S208" s="73"/>
      <c r="T208" s="73"/>
      <c r="U208" s="73"/>
      <c r="V208" s="73"/>
      <c r="W208" s="73"/>
    </row>
    <row r="209" spans="1:23">
      <c r="A209" s="74" t="str">
        <f t="shared" si="54"/>
        <v>Jawar</v>
      </c>
      <c r="B209" s="74"/>
      <c r="C209" s="226">
        <v>25</v>
      </c>
      <c r="D209" s="75">
        <f t="shared" si="56"/>
        <v>0</v>
      </c>
      <c r="E209" s="75">
        <f t="shared" si="56"/>
        <v>0</v>
      </c>
      <c r="F209" s="75">
        <f t="shared" si="56"/>
        <v>0</v>
      </c>
      <c r="G209" s="75">
        <f t="shared" si="56"/>
        <v>0</v>
      </c>
      <c r="H209" s="75">
        <f t="shared" si="56"/>
        <v>0</v>
      </c>
      <c r="I209" s="75">
        <f t="shared" si="56"/>
        <v>0</v>
      </c>
      <c r="J209" s="75">
        <f t="shared" si="56"/>
        <v>0</v>
      </c>
      <c r="K209" s="73"/>
      <c r="L209" s="73"/>
      <c r="M209" s="73"/>
      <c r="N209" s="73"/>
      <c r="O209" s="73"/>
      <c r="P209" s="73"/>
      <c r="Q209" s="73"/>
      <c r="R209" s="73"/>
      <c r="S209" s="73"/>
      <c r="T209" s="73"/>
      <c r="U209" s="73"/>
      <c r="V209" s="73"/>
      <c r="W209" s="73"/>
    </row>
    <row r="210" spans="1:23">
      <c r="A210" s="74" t="str">
        <f t="shared" si="54"/>
        <v>Maize</v>
      </c>
      <c r="B210" s="74"/>
      <c r="C210" s="226">
        <v>25</v>
      </c>
      <c r="D210" s="75">
        <f t="shared" si="56"/>
        <v>0</v>
      </c>
      <c r="E210" s="75">
        <f t="shared" si="56"/>
        <v>0</v>
      </c>
      <c r="F210" s="75">
        <f t="shared" si="56"/>
        <v>0</v>
      </c>
      <c r="G210" s="75">
        <f t="shared" si="56"/>
        <v>0</v>
      </c>
      <c r="H210" s="75">
        <f t="shared" si="56"/>
        <v>0</v>
      </c>
      <c r="I210" s="75">
        <f t="shared" si="56"/>
        <v>0</v>
      </c>
      <c r="J210" s="75">
        <f t="shared" si="56"/>
        <v>0</v>
      </c>
      <c r="K210" s="73"/>
      <c r="L210" s="73"/>
      <c r="M210" s="73"/>
      <c r="N210" s="73"/>
      <c r="O210" s="73"/>
      <c r="P210" s="73"/>
      <c r="Q210" s="73"/>
      <c r="R210" s="73"/>
      <c r="S210" s="73"/>
      <c r="T210" s="73"/>
      <c r="U210" s="73"/>
      <c r="V210" s="73"/>
      <c r="W210" s="73"/>
    </row>
    <row r="211" spans="1:23">
      <c r="A211" s="74" t="str">
        <f t="shared" si="54"/>
        <v>Safflower</v>
      </c>
      <c r="B211" s="74"/>
      <c r="C211" s="226">
        <v>25</v>
      </c>
      <c r="D211" s="75">
        <f t="shared" si="56"/>
        <v>0</v>
      </c>
      <c r="E211" s="75">
        <f t="shared" si="56"/>
        <v>0</v>
      </c>
      <c r="F211" s="75">
        <f t="shared" si="56"/>
        <v>0</v>
      </c>
      <c r="G211" s="75">
        <f t="shared" si="56"/>
        <v>0</v>
      </c>
      <c r="H211" s="75">
        <f t="shared" si="56"/>
        <v>0</v>
      </c>
      <c r="I211" s="75">
        <f t="shared" si="56"/>
        <v>0</v>
      </c>
      <c r="J211" s="75">
        <f t="shared" si="56"/>
        <v>0</v>
      </c>
      <c r="K211" s="73"/>
      <c r="L211" s="73"/>
      <c r="M211" s="73"/>
      <c r="N211" s="73"/>
      <c r="O211" s="73"/>
      <c r="P211" s="73"/>
      <c r="Q211" s="73"/>
      <c r="R211" s="73"/>
      <c r="S211" s="73"/>
      <c r="T211" s="73"/>
      <c r="U211" s="73"/>
      <c r="V211" s="73"/>
      <c r="W211" s="73"/>
    </row>
    <row r="212" spans="1:23">
      <c r="A212" s="74" t="str">
        <f t="shared" si="54"/>
        <v>Groundnut</v>
      </c>
      <c r="B212" s="74"/>
      <c r="C212" s="226"/>
      <c r="D212" s="75">
        <f t="shared" si="56"/>
        <v>0</v>
      </c>
      <c r="E212" s="75">
        <f t="shared" si="56"/>
        <v>0</v>
      </c>
      <c r="F212" s="75">
        <f t="shared" si="56"/>
        <v>0</v>
      </c>
      <c r="G212" s="75">
        <f t="shared" si="56"/>
        <v>0</v>
      </c>
      <c r="H212" s="75">
        <f t="shared" si="56"/>
        <v>0</v>
      </c>
      <c r="I212" s="75">
        <f t="shared" si="56"/>
        <v>0</v>
      </c>
      <c r="J212" s="75">
        <f t="shared" si="56"/>
        <v>0</v>
      </c>
      <c r="K212" s="73"/>
      <c r="L212" s="73"/>
      <c r="M212" s="73"/>
      <c r="N212" s="73"/>
      <c r="O212" s="73"/>
      <c r="P212" s="73"/>
      <c r="Q212" s="73"/>
      <c r="R212" s="73"/>
      <c r="S212" s="73"/>
      <c r="T212" s="73"/>
      <c r="U212" s="73"/>
      <c r="V212" s="73"/>
      <c r="W212" s="73"/>
    </row>
    <row r="213" spans="1:23">
      <c r="A213" s="74">
        <f t="shared" si="54"/>
        <v>0</v>
      </c>
      <c r="B213" s="74"/>
      <c r="C213" s="226"/>
      <c r="D213" s="75">
        <f t="shared" si="56"/>
        <v>0</v>
      </c>
      <c r="E213" s="75">
        <f t="shared" si="56"/>
        <v>0</v>
      </c>
      <c r="F213" s="75">
        <f t="shared" si="56"/>
        <v>0</v>
      </c>
      <c r="G213" s="75">
        <f t="shared" si="56"/>
        <v>0</v>
      </c>
      <c r="H213" s="75">
        <f t="shared" si="56"/>
        <v>0</v>
      </c>
      <c r="I213" s="75">
        <f t="shared" si="56"/>
        <v>0</v>
      </c>
      <c r="J213" s="75">
        <f t="shared" si="56"/>
        <v>0</v>
      </c>
      <c r="K213" s="73"/>
      <c r="L213" s="73"/>
      <c r="M213" s="73"/>
      <c r="N213" s="73"/>
      <c r="O213" s="73"/>
      <c r="P213" s="73"/>
      <c r="Q213" s="73"/>
      <c r="R213" s="73"/>
      <c r="S213" s="73"/>
      <c r="T213" s="73"/>
      <c r="U213" s="73"/>
      <c r="V213" s="73"/>
      <c r="W213" s="73"/>
    </row>
    <row r="214" spans="1:23">
      <c r="A214" s="74">
        <f t="shared" si="54"/>
        <v>0</v>
      </c>
      <c r="B214" s="74"/>
      <c r="C214" s="226"/>
      <c r="D214" s="75">
        <f t="shared" si="56"/>
        <v>0</v>
      </c>
      <c r="E214" s="75">
        <f t="shared" si="56"/>
        <v>0</v>
      </c>
      <c r="F214" s="75">
        <f t="shared" si="56"/>
        <v>0</v>
      </c>
      <c r="G214" s="75">
        <f t="shared" si="56"/>
        <v>0</v>
      </c>
      <c r="H214" s="75">
        <f t="shared" si="56"/>
        <v>0</v>
      </c>
      <c r="I214" s="75">
        <f t="shared" si="56"/>
        <v>0</v>
      </c>
      <c r="J214" s="75">
        <f t="shared" si="56"/>
        <v>0</v>
      </c>
      <c r="K214" s="73"/>
      <c r="L214" s="73"/>
      <c r="M214" s="73"/>
      <c r="N214" s="73"/>
      <c r="O214" s="73"/>
      <c r="P214" s="73"/>
      <c r="Q214" s="73"/>
      <c r="R214" s="73"/>
      <c r="S214" s="73"/>
      <c r="T214" s="73"/>
      <c r="U214" s="73"/>
      <c r="V214" s="73"/>
      <c r="W214" s="73"/>
    </row>
    <row r="215" spans="1:23">
      <c r="A215" s="74" t="str">
        <f t="shared" si="54"/>
        <v>Summer</v>
      </c>
      <c r="B215" s="74"/>
      <c r="C215" s="226"/>
      <c r="D215" s="75">
        <f t="shared" si="56"/>
        <v>0</v>
      </c>
      <c r="E215" s="75">
        <f t="shared" si="56"/>
        <v>0</v>
      </c>
      <c r="F215" s="75">
        <f t="shared" si="56"/>
        <v>0</v>
      </c>
      <c r="G215" s="75">
        <f t="shared" si="56"/>
        <v>0</v>
      </c>
      <c r="H215" s="75">
        <f t="shared" si="56"/>
        <v>0</v>
      </c>
      <c r="I215" s="75">
        <f t="shared" si="56"/>
        <v>0</v>
      </c>
      <c r="J215" s="75">
        <f t="shared" si="56"/>
        <v>0</v>
      </c>
      <c r="K215" s="73"/>
      <c r="L215" s="73"/>
      <c r="M215" s="73"/>
      <c r="N215" s="73"/>
      <c r="O215" s="73"/>
      <c r="P215" s="73"/>
      <c r="Q215" s="73"/>
      <c r="R215" s="73"/>
      <c r="S215" s="73"/>
      <c r="T215" s="73"/>
      <c r="U215" s="73"/>
      <c r="V215" s="73"/>
      <c r="W215" s="73"/>
    </row>
    <row r="216" spans="1:23">
      <c r="A216" s="74" t="str">
        <f t="shared" si="54"/>
        <v>Groundnut</v>
      </c>
      <c r="B216" s="74"/>
      <c r="C216" s="226"/>
      <c r="D216" s="75">
        <f t="shared" si="56"/>
        <v>0</v>
      </c>
      <c r="E216" s="75">
        <f t="shared" si="56"/>
        <v>0</v>
      </c>
      <c r="F216" s="75">
        <f t="shared" si="56"/>
        <v>0</v>
      </c>
      <c r="G216" s="75">
        <f t="shared" si="56"/>
        <v>0</v>
      </c>
      <c r="H216" s="75">
        <f t="shared" si="56"/>
        <v>0</v>
      </c>
      <c r="I216" s="75">
        <f t="shared" si="56"/>
        <v>0</v>
      </c>
      <c r="J216" s="75">
        <f t="shared" si="56"/>
        <v>0</v>
      </c>
      <c r="K216" s="73"/>
      <c r="L216" s="73"/>
      <c r="M216" s="73"/>
      <c r="N216" s="73"/>
      <c r="O216" s="73"/>
      <c r="P216" s="73"/>
      <c r="Q216" s="73"/>
      <c r="R216" s="73"/>
      <c r="S216" s="73"/>
      <c r="T216" s="73"/>
      <c r="U216" s="73"/>
      <c r="V216" s="73"/>
      <c r="W216" s="73"/>
    </row>
    <row r="217" spans="1:23">
      <c r="A217" s="74">
        <f t="shared" si="54"/>
        <v>0</v>
      </c>
      <c r="B217" s="74"/>
      <c r="C217" s="226"/>
      <c r="D217" s="75">
        <f t="shared" si="56"/>
        <v>0</v>
      </c>
      <c r="E217" s="75">
        <f t="shared" si="56"/>
        <v>0</v>
      </c>
      <c r="F217" s="75">
        <f t="shared" si="56"/>
        <v>0</v>
      </c>
      <c r="G217" s="75">
        <f t="shared" si="56"/>
        <v>0</v>
      </c>
      <c r="H217" s="75">
        <f t="shared" si="56"/>
        <v>0</v>
      </c>
      <c r="I217" s="75">
        <f t="shared" si="56"/>
        <v>0</v>
      </c>
      <c r="J217" s="75">
        <f t="shared" si="56"/>
        <v>0</v>
      </c>
      <c r="K217" s="73"/>
      <c r="L217" s="73"/>
      <c r="M217" s="73"/>
      <c r="N217" s="73"/>
      <c r="O217" s="73"/>
      <c r="P217" s="73"/>
      <c r="Q217" s="73"/>
      <c r="R217" s="73"/>
      <c r="S217" s="73"/>
      <c r="T217" s="73"/>
      <c r="U217" s="73"/>
      <c r="V217" s="73"/>
      <c r="W217" s="73"/>
    </row>
    <row r="218" spans="1:23">
      <c r="A218" s="74">
        <f t="shared" si="54"/>
        <v>0</v>
      </c>
      <c r="B218" s="74"/>
      <c r="C218" s="226"/>
      <c r="D218" s="75">
        <f t="shared" ref="D218:J220" si="57">C82*$C218*D$124</f>
        <v>0</v>
      </c>
      <c r="E218" s="75">
        <f t="shared" si="57"/>
        <v>0</v>
      </c>
      <c r="F218" s="75">
        <f t="shared" si="57"/>
        <v>0</v>
      </c>
      <c r="G218" s="75">
        <f t="shared" si="57"/>
        <v>0</v>
      </c>
      <c r="H218" s="75">
        <f t="shared" si="57"/>
        <v>0</v>
      </c>
      <c r="I218" s="75">
        <f t="shared" si="57"/>
        <v>0</v>
      </c>
      <c r="J218" s="75">
        <f t="shared" si="57"/>
        <v>0</v>
      </c>
      <c r="K218" s="73"/>
      <c r="L218" s="73"/>
      <c r="M218" s="73"/>
      <c r="N218" s="73"/>
      <c r="O218" s="73"/>
      <c r="P218" s="73"/>
      <c r="Q218" s="73"/>
      <c r="R218" s="73"/>
      <c r="S218" s="73"/>
      <c r="T218" s="73"/>
      <c r="U218" s="73"/>
      <c r="V218" s="73"/>
      <c r="W218" s="73"/>
    </row>
    <row r="219" spans="1:23">
      <c r="A219" s="74">
        <f t="shared" si="54"/>
        <v>0</v>
      </c>
      <c r="B219" s="74"/>
      <c r="C219" s="226"/>
      <c r="D219" s="75">
        <f t="shared" si="57"/>
        <v>0</v>
      </c>
      <c r="E219" s="75">
        <f t="shared" si="57"/>
        <v>0</v>
      </c>
      <c r="F219" s="75">
        <f t="shared" si="57"/>
        <v>0</v>
      </c>
      <c r="G219" s="75">
        <f t="shared" si="57"/>
        <v>0</v>
      </c>
      <c r="H219" s="75">
        <f t="shared" si="57"/>
        <v>0</v>
      </c>
      <c r="I219" s="75">
        <f t="shared" si="57"/>
        <v>0</v>
      </c>
      <c r="J219" s="75">
        <f t="shared" si="57"/>
        <v>0</v>
      </c>
      <c r="K219" s="73"/>
      <c r="L219" s="73"/>
      <c r="M219" s="73"/>
      <c r="N219" s="73"/>
      <c r="O219" s="73"/>
      <c r="P219" s="73"/>
      <c r="Q219" s="73"/>
      <c r="R219" s="73"/>
      <c r="S219" s="73"/>
      <c r="T219" s="73"/>
      <c r="U219" s="73"/>
      <c r="V219" s="73"/>
      <c r="W219" s="73"/>
    </row>
    <row r="220" spans="1:23">
      <c r="A220" s="74">
        <f t="shared" si="54"/>
        <v>0</v>
      </c>
      <c r="B220" s="74"/>
      <c r="C220" s="226"/>
      <c r="D220" s="75">
        <f t="shared" si="57"/>
        <v>0</v>
      </c>
      <c r="E220" s="75">
        <f t="shared" si="57"/>
        <v>0</v>
      </c>
      <c r="F220" s="75">
        <f t="shared" si="57"/>
        <v>0</v>
      </c>
      <c r="G220" s="75">
        <f t="shared" si="57"/>
        <v>0</v>
      </c>
      <c r="H220" s="75">
        <f t="shared" si="57"/>
        <v>0</v>
      </c>
      <c r="I220" s="75">
        <f t="shared" si="57"/>
        <v>0</v>
      </c>
      <c r="J220" s="75">
        <f t="shared" si="57"/>
        <v>0</v>
      </c>
      <c r="K220" s="73"/>
      <c r="L220" s="73"/>
      <c r="M220" s="73"/>
      <c r="N220" s="73"/>
      <c r="O220" s="73"/>
      <c r="P220" s="73"/>
      <c r="Q220" s="73"/>
      <c r="R220" s="73"/>
      <c r="S220" s="73"/>
      <c r="T220" s="73"/>
      <c r="U220" s="73"/>
      <c r="V220" s="73"/>
      <c r="W220" s="73"/>
    </row>
    <row r="221" spans="1:23">
      <c r="A221" s="74" t="str">
        <f t="shared" si="54"/>
        <v>Fruit  &amp; Vegetables Crop Production Details</v>
      </c>
      <c r="B221" s="74"/>
      <c r="C221" s="75"/>
      <c r="D221" s="75"/>
      <c r="E221" s="75"/>
      <c r="F221" s="75"/>
      <c r="G221" s="75"/>
      <c r="H221" s="75"/>
      <c r="I221" s="75"/>
      <c r="J221" s="75"/>
      <c r="K221" s="73"/>
      <c r="L221" s="73"/>
      <c r="M221" s="73"/>
      <c r="N221" s="73"/>
      <c r="O221" s="73"/>
      <c r="P221" s="73"/>
      <c r="Q221" s="73"/>
      <c r="R221" s="73"/>
      <c r="S221" s="73"/>
      <c r="T221" s="73"/>
      <c r="U221" s="73"/>
      <c r="V221" s="73"/>
      <c r="W221" s="73"/>
    </row>
    <row r="222" spans="1:23">
      <c r="A222" s="74" t="str">
        <f t="shared" si="54"/>
        <v>Onion</v>
      </c>
      <c r="B222" s="74"/>
      <c r="C222" s="226"/>
      <c r="D222" s="75">
        <f t="shared" ref="D222:J231" si="58">C86*$C222*D$124</f>
        <v>0</v>
      </c>
      <c r="E222" s="75">
        <f t="shared" si="58"/>
        <v>0</v>
      </c>
      <c r="F222" s="75">
        <f t="shared" si="58"/>
        <v>0</v>
      </c>
      <c r="G222" s="75">
        <f t="shared" si="58"/>
        <v>0</v>
      </c>
      <c r="H222" s="75">
        <f t="shared" si="58"/>
        <v>0</v>
      </c>
      <c r="I222" s="75">
        <f t="shared" si="58"/>
        <v>0</v>
      </c>
      <c r="J222" s="75">
        <f t="shared" si="58"/>
        <v>0</v>
      </c>
      <c r="K222" s="73"/>
      <c r="L222" s="73"/>
      <c r="M222" s="73"/>
      <c r="N222" s="73"/>
      <c r="O222" s="73"/>
      <c r="P222" s="73"/>
      <c r="Q222" s="73"/>
      <c r="R222" s="73"/>
      <c r="S222" s="73"/>
      <c r="T222" s="73"/>
      <c r="U222" s="73"/>
      <c r="V222" s="73"/>
      <c r="W222" s="73"/>
    </row>
    <row r="223" spans="1:23">
      <c r="A223" s="74" t="str">
        <f t="shared" si="54"/>
        <v>Tomato</v>
      </c>
      <c r="B223" s="74"/>
      <c r="C223" s="226"/>
      <c r="D223" s="75">
        <f t="shared" si="58"/>
        <v>0</v>
      </c>
      <c r="E223" s="75">
        <f t="shared" si="58"/>
        <v>0</v>
      </c>
      <c r="F223" s="75">
        <f t="shared" si="58"/>
        <v>0</v>
      </c>
      <c r="G223" s="75">
        <f t="shared" si="58"/>
        <v>0</v>
      </c>
      <c r="H223" s="75">
        <f t="shared" si="58"/>
        <v>0</v>
      </c>
      <c r="I223" s="75">
        <f t="shared" si="58"/>
        <v>0</v>
      </c>
      <c r="J223" s="75">
        <f t="shared" si="58"/>
        <v>0</v>
      </c>
      <c r="K223" s="73"/>
      <c r="L223" s="73"/>
      <c r="M223" s="73"/>
      <c r="N223" s="73"/>
      <c r="O223" s="73"/>
      <c r="P223" s="73"/>
      <c r="Q223" s="73"/>
      <c r="R223" s="73"/>
      <c r="S223" s="73"/>
      <c r="T223" s="73"/>
      <c r="U223" s="73"/>
      <c r="V223" s="73"/>
      <c r="W223" s="73"/>
    </row>
    <row r="224" spans="1:23">
      <c r="A224" s="74" t="str">
        <f t="shared" si="54"/>
        <v>Okra</v>
      </c>
      <c r="B224" s="74"/>
      <c r="C224" s="226"/>
      <c r="D224" s="75">
        <f t="shared" si="58"/>
        <v>0</v>
      </c>
      <c r="E224" s="75">
        <f t="shared" si="58"/>
        <v>0</v>
      </c>
      <c r="F224" s="75">
        <f t="shared" si="58"/>
        <v>0</v>
      </c>
      <c r="G224" s="75">
        <f t="shared" si="58"/>
        <v>0</v>
      </c>
      <c r="H224" s="75">
        <f t="shared" si="58"/>
        <v>0</v>
      </c>
      <c r="I224" s="75">
        <f t="shared" si="58"/>
        <v>0</v>
      </c>
      <c r="J224" s="75">
        <f t="shared" si="58"/>
        <v>0</v>
      </c>
      <c r="K224" s="73"/>
      <c r="L224" s="73"/>
      <c r="M224" s="73"/>
      <c r="N224" s="73"/>
      <c r="O224" s="73"/>
      <c r="P224" s="73"/>
      <c r="Q224" s="73"/>
      <c r="R224" s="73"/>
      <c r="S224" s="73"/>
      <c r="T224" s="73"/>
      <c r="U224" s="73"/>
      <c r="V224" s="73"/>
      <c r="W224" s="73"/>
    </row>
    <row r="225" spans="1:23">
      <c r="A225" s="74" t="str">
        <f t="shared" si="54"/>
        <v>Chilli</v>
      </c>
      <c r="B225" s="74"/>
      <c r="C225" s="226"/>
      <c r="D225" s="75">
        <f t="shared" si="58"/>
        <v>0</v>
      </c>
      <c r="E225" s="75">
        <f t="shared" si="58"/>
        <v>0</v>
      </c>
      <c r="F225" s="75">
        <f t="shared" si="58"/>
        <v>0</v>
      </c>
      <c r="G225" s="75">
        <f t="shared" si="58"/>
        <v>0</v>
      </c>
      <c r="H225" s="75">
        <f t="shared" si="58"/>
        <v>0</v>
      </c>
      <c r="I225" s="75">
        <f t="shared" si="58"/>
        <v>0</v>
      </c>
      <c r="J225" s="75">
        <f t="shared" si="58"/>
        <v>0</v>
      </c>
      <c r="K225" s="73"/>
      <c r="L225" s="73"/>
      <c r="M225" s="73"/>
      <c r="N225" s="73"/>
      <c r="O225" s="73"/>
      <c r="P225" s="73"/>
      <c r="Q225" s="73"/>
      <c r="R225" s="73"/>
      <c r="S225" s="73"/>
      <c r="T225" s="73"/>
      <c r="U225" s="73"/>
      <c r="V225" s="73"/>
      <c r="W225" s="73"/>
    </row>
    <row r="226" spans="1:23">
      <c r="A226" s="74" t="str">
        <f t="shared" si="54"/>
        <v>Potato</v>
      </c>
      <c r="B226" s="74"/>
      <c r="C226" s="226"/>
      <c r="D226" s="75">
        <f t="shared" si="58"/>
        <v>0</v>
      </c>
      <c r="E226" s="75">
        <f t="shared" si="58"/>
        <v>0</v>
      </c>
      <c r="F226" s="75">
        <f t="shared" si="58"/>
        <v>0</v>
      </c>
      <c r="G226" s="75">
        <f t="shared" si="58"/>
        <v>0</v>
      </c>
      <c r="H226" s="75">
        <f t="shared" si="58"/>
        <v>0</v>
      </c>
      <c r="I226" s="75">
        <f t="shared" si="58"/>
        <v>0</v>
      </c>
      <c r="J226" s="75">
        <f t="shared" si="58"/>
        <v>0</v>
      </c>
      <c r="K226" s="73"/>
      <c r="L226" s="73"/>
      <c r="M226" s="73"/>
      <c r="N226" s="73"/>
      <c r="O226" s="73"/>
      <c r="P226" s="73"/>
      <c r="Q226" s="73"/>
      <c r="R226" s="73"/>
      <c r="S226" s="73"/>
      <c r="T226" s="73"/>
      <c r="U226" s="73"/>
      <c r="V226" s="73"/>
      <c r="W226" s="73"/>
    </row>
    <row r="227" spans="1:23">
      <c r="A227" s="74">
        <f t="shared" si="54"/>
        <v>0</v>
      </c>
      <c r="B227" s="74"/>
      <c r="C227" s="226"/>
      <c r="D227" s="75">
        <f t="shared" si="58"/>
        <v>0</v>
      </c>
      <c r="E227" s="75">
        <f t="shared" si="58"/>
        <v>0</v>
      </c>
      <c r="F227" s="75">
        <f t="shared" si="58"/>
        <v>0</v>
      </c>
      <c r="G227" s="75">
        <f t="shared" si="58"/>
        <v>0</v>
      </c>
      <c r="H227" s="75">
        <f t="shared" si="58"/>
        <v>0</v>
      </c>
      <c r="I227" s="75">
        <f t="shared" si="58"/>
        <v>0</v>
      </c>
      <c r="J227" s="75">
        <f t="shared" si="58"/>
        <v>0</v>
      </c>
      <c r="K227" s="73"/>
      <c r="L227" s="73"/>
      <c r="M227" s="73"/>
      <c r="N227" s="73"/>
      <c r="O227" s="73"/>
      <c r="P227" s="73"/>
      <c r="Q227" s="73"/>
      <c r="R227" s="73"/>
      <c r="S227" s="73"/>
      <c r="T227" s="73"/>
      <c r="U227" s="73"/>
      <c r="V227" s="73"/>
      <c r="W227" s="73"/>
    </row>
    <row r="228" spans="1:23">
      <c r="A228" s="74">
        <f t="shared" si="54"/>
        <v>0</v>
      </c>
      <c r="B228" s="74"/>
      <c r="C228" s="226"/>
      <c r="D228" s="75">
        <f t="shared" si="58"/>
        <v>0</v>
      </c>
      <c r="E228" s="75">
        <f t="shared" si="58"/>
        <v>0</v>
      </c>
      <c r="F228" s="75">
        <f t="shared" si="58"/>
        <v>0</v>
      </c>
      <c r="G228" s="75">
        <f t="shared" si="58"/>
        <v>0</v>
      </c>
      <c r="H228" s="75">
        <f t="shared" si="58"/>
        <v>0</v>
      </c>
      <c r="I228" s="75">
        <f t="shared" si="58"/>
        <v>0</v>
      </c>
      <c r="J228" s="75">
        <f t="shared" si="58"/>
        <v>0</v>
      </c>
      <c r="K228" s="73"/>
      <c r="L228" s="73"/>
      <c r="M228" s="73"/>
      <c r="N228" s="73"/>
      <c r="O228" s="73"/>
      <c r="P228" s="73"/>
      <c r="Q228" s="73"/>
      <c r="R228" s="73"/>
      <c r="S228" s="73"/>
      <c r="T228" s="73"/>
      <c r="U228" s="73"/>
      <c r="V228" s="73"/>
      <c r="W228" s="73"/>
    </row>
    <row r="229" spans="1:23">
      <c r="A229" s="74">
        <f t="shared" si="54"/>
        <v>0</v>
      </c>
      <c r="B229" s="74"/>
      <c r="C229" s="226"/>
      <c r="D229" s="75">
        <f t="shared" si="58"/>
        <v>0</v>
      </c>
      <c r="E229" s="75">
        <f t="shared" si="58"/>
        <v>0</v>
      </c>
      <c r="F229" s="75">
        <f t="shared" si="58"/>
        <v>0</v>
      </c>
      <c r="G229" s="75">
        <f t="shared" si="58"/>
        <v>0</v>
      </c>
      <c r="H229" s="75">
        <f t="shared" si="58"/>
        <v>0</v>
      </c>
      <c r="I229" s="75">
        <f t="shared" si="58"/>
        <v>0</v>
      </c>
      <c r="J229" s="75">
        <f t="shared" si="58"/>
        <v>0</v>
      </c>
      <c r="K229" s="73"/>
      <c r="L229" s="73"/>
      <c r="M229" s="73"/>
      <c r="N229" s="73"/>
      <c r="O229" s="73"/>
      <c r="P229" s="73"/>
      <c r="Q229" s="73"/>
      <c r="R229" s="73"/>
      <c r="S229" s="73"/>
      <c r="T229" s="73"/>
      <c r="U229" s="73"/>
      <c r="V229" s="73"/>
      <c r="W229" s="73"/>
    </row>
    <row r="230" spans="1:23">
      <c r="A230" s="74">
        <f t="shared" si="54"/>
        <v>0</v>
      </c>
      <c r="B230" s="74"/>
      <c r="C230" s="226"/>
      <c r="D230" s="75">
        <f t="shared" si="58"/>
        <v>0</v>
      </c>
      <c r="E230" s="75">
        <f t="shared" si="58"/>
        <v>0</v>
      </c>
      <c r="F230" s="75">
        <f t="shared" si="58"/>
        <v>0</v>
      </c>
      <c r="G230" s="75">
        <f t="shared" si="58"/>
        <v>0</v>
      </c>
      <c r="H230" s="75">
        <f t="shared" si="58"/>
        <v>0</v>
      </c>
      <c r="I230" s="75">
        <f t="shared" si="58"/>
        <v>0</v>
      </c>
      <c r="J230" s="75">
        <f t="shared" si="58"/>
        <v>0</v>
      </c>
      <c r="K230" s="73"/>
      <c r="L230" s="73"/>
      <c r="M230" s="73"/>
      <c r="N230" s="73"/>
      <c r="O230" s="73"/>
      <c r="P230" s="73"/>
      <c r="Q230" s="73"/>
      <c r="R230" s="73"/>
      <c r="S230" s="73"/>
      <c r="T230" s="73"/>
      <c r="U230" s="73"/>
      <c r="V230" s="73"/>
      <c r="W230" s="73"/>
    </row>
    <row r="231" spans="1:23">
      <c r="A231" s="74" t="str">
        <f t="shared" si="54"/>
        <v>Onion</v>
      </c>
      <c r="B231" s="74"/>
      <c r="C231" s="226"/>
      <c r="D231" s="75">
        <f t="shared" si="58"/>
        <v>0</v>
      </c>
      <c r="E231" s="75">
        <f t="shared" si="58"/>
        <v>0</v>
      </c>
      <c r="F231" s="75">
        <f t="shared" si="58"/>
        <v>0</v>
      </c>
      <c r="G231" s="75">
        <f t="shared" si="58"/>
        <v>0</v>
      </c>
      <c r="H231" s="75">
        <f t="shared" si="58"/>
        <v>0</v>
      </c>
      <c r="I231" s="75">
        <f t="shared" si="58"/>
        <v>0</v>
      </c>
      <c r="J231" s="75">
        <f t="shared" si="58"/>
        <v>0</v>
      </c>
      <c r="K231" s="73"/>
      <c r="L231" s="73"/>
      <c r="M231" s="73"/>
      <c r="N231" s="73"/>
      <c r="O231" s="73"/>
      <c r="P231" s="73"/>
      <c r="Q231" s="73"/>
      <c r="R231" s="73"/>
      <c r="S231" s="73"/>
      <c r="T231" s="73"/>
      <c r="U231" s="73"/>
      <c r="V231" s="73"/>
      <c r="W231" s="73"/>
    </row>
    <row r="232" spans="1:23">
      <c r="A232" s="74" t="str">
        <f t="shared" si="54"/>
        <v>Tomato</v>
      </c>
      <c r="B232" s="74"/>
      <c r="C232" s="226"/>
      <c r="D232" s="75">
        <f t="shared" ref="D232:J239" si="59">C96*$C232*D$124</f>
        <v>0</v>
      </c>
      <c r="E232" s="75">
        <f t="shared" si="59"/>
        <v>0</v>
      </c>
      <c r="F232" s="75">
        <f t="shared" si="59"/>
        <v>0</v>
      </c>
      <c r="G232" s="75">
        <f t="shared" si="59"/>
        <v>0</v>
      </c>
      <c r="H232" s="75">
        <f t="shared" si="59"/>
        <v>0</v>
      </c>
      <c r="I232" s="75">
        <f t="shared" si="59"/>
        <v>0</v>
      </c>
      <c r="J232" s="75">
        <f t="shared" si="59"/>
        <v>0</v>
      </c>
      <c r="K232" s="73"/>
      <c r="L232" s="73"/>
      <c r="M232" s="73"/>
      <c r="N232" s="73"/>
      <c r="O232" s="73"/>
      <c r="P232" s="73"/>
      <c r="Q232" s="73"/>
      <c r="R232" s="73"/>
      <c r="S232" s="73"/>
      <c r="T232" s="73"/>
      <c r="U232" s="73"/>
      <c r="V232" s="73"/>
      <c r="W232" s="73"/>
    </row>
    <row r="233" spans="1:23">
      <c r="A233" s="74" t="str">
        <f t="shared" si="54"/>
        <v>Okra</v>
      </c>
      <c r="B233" s="74"/>
      <c r="C233" s="226"/>
      <c r="D233" s="75">
        <f t="shared" si="59"/>
        <v>0</v>
      </c>
      <c r="E233" s="75">
        <f t="shared" si="59"/>
        <v>0</v>
      </c>
      <c r="F233" s="75">
        <f t="shared" si="59"/>
        <v>0</v>
      </c>
      <c r="G233" s="75">
        <f t="shared" si="59"/>
        <v>0</v>
      </c>
      <c r="H233" s="75">
        <f t="shared" si="59"/>
        <v>0</v>
      </c>
      <c r="I233" s="75">
        <f t="shared" si="59"/>
        <v>0</v>
      </c>
      <c r="J233" s="75">
        <f t="shared" si="59"/>
        <v>0</v>
      </c>
      <c r="K233" s="73"/>
      <c r="L233" s="73"/>
      <c r="M233" s="73"/>
      <c r="N233" s="73"/>
      <c r="O233" s="73"/>
      <c r="P233" s="73"/>
      <c r="Q233" s="73"/>
      <c r="R233" s="73"/>
      <c r="S233" s="73"/>
      <c r="T233" s="73"/>
      <c r="U233" s="73"/>
      <c r="V233" s="73"/>
      <c r="W233" s="73"/>
    </row>
    <row r="234" spans="1:23">
      <c r="A234" s="74" t="str">
        <f t="shared" si="54"/>
        <v>Chilli</v>
      </c>
      <c r="B234" s="74"/>
      <c r="C234" s="226"/>
      <c r="D234" s="75">
        <f t="shared" si="59"/>
        <v>0</v>
      </c>
      <c r="E234" s="75">
        <f t="shared" si="59"/>
        <v>0</v>
      </c>
      <c r="F234" s="75">
        <f t="shared" si="59"/>
        <v>0</v>
      </c>
      <c r="G234" s="75">
        <f t="shared" si="59"/>
        <v>0</v>
      </c>
      <c r="H234" s="75">
        <f t="shared" si="59"/>
        <v>0</v>
      </c>
      <c r="I234" s="75">
        <f t="shared" si="59"/>
        <v>0</v>
      </c>
      <c r="J234" s="75">
        <f t="shared" si="59"/>
        <v>0</v>
      </c>
      <c r="K234" s="73"/>
      <c r="L234" s="73"/>
      <c r="M234" s="73"/>
      <c r="N234" s="73"/>
      <c r="O234" s="73"/>
      <c r="P234" s="73"/>
      <c r="Q234" s="73"/>
      <c r="R234" s="73"/>
      <c r="S234" s="73"/>
      <c r="T234" s="73"/>
      <c r="U234" s="73"/>
      <c r="V234" s="73"/>
      <c r="W234" s="73"/>
    </row>
    <row r="235" spans="1:23">
      <c r="A235" s="74" t="str">
        <f t="shared" si="54"/>
        <v>Brinjal</v>
      </c>
      <c r="B235" s="74"/>
      <c r="C235" s="226"/>
      <c r="D235" s="75">
        <f t="shared" si="59"/>
        <v>0</v>
      </c>
      <c r="E235" s="75">
        <f t="shared" si="59"/>
        <v>0</v>
      </c>
      <c r="F235" s="75">
        <f t="shared" si="59"/>
        <v>0</v>
      </c>
      <c r="G235" s="75">
        <f t="shared" si="59"/>
        <v>0</v>
      </c>
      <c r="H235" s="75">
        <f t="shared" si="59"/>
        <v>0</v>
      </c>
      <c r="I235" s="75">
        <f t="shared" si="59"/>
        <v>0</v>
      </c>
      <c r="J235" s="75">
        <f t="shared" si="59"/>
        <v>0</v>
      </c>
      <c r="K235" s="73"/>
      <c r="L235" s="73"/>
      <c r="M235" s="73"/>
      <c r="N235" s="73"/>
      <c r="O235" s="73"/>
      <c r="P235" s="73"/>
      <c r="Q235" s="73"/>
      <c r="R235" s="73"/>
      <c r="S235" s="73"/>
      <c r="T235" s="73"/>
      <c r="U235" s="73"/>
      <c r="V235" s="73"/>
      <c r="W235" s="73"/>
    </row>
    <row r="236" spans="1:23">
      <c r="A236" s="74">
        <f t="shared" si="54"/>
        <v>0</v>
      </c>
      <c r="B236" s="74"/>
      <c r="C236" s="226"/>
      <c r="D236" s="75">
        <f t="shared" si="59"/>
        <v>0</v>
      </c>
      <c r="E236" s="75">
        <f t="shared" si="59"/>
        <v>0</v>
      </c>
      <c r="F236" s="75">
        <f t="shared" si="59"/>
        <v>0</v>
      </c>
      <c r="G236" s="75">
        <f t="shared" si="59"/>
        <v>0</v>
      </c>
      <c r="H236" s="75">
        <f t="shared" si="59"/>
        <v>0</v>
      </c>
      <c r="I236" s="75">
        <f t="shared" si="59"/>
        <v>0</v>
      </c>
      <c r="J236" s="75">
        <f t="shared" si="59"/>
        <v>0</v>
      </c>
      <c r="K236" s="73"/>
      <c r="L236" s="73"/>
      <c r="M236" s="73"/>
      <c r="N236" s="73"/>
      <c r="O236" s="73"/>
      <c r="P236" s="73"/>
      <c r="Q236" s="73"/>
      <c r="R236" s="73"/>
      <c r="S236" s="73"/>
      <c r="T236" s="73"/>
      <c r="U236" s="73"/>
      <c r="V236" s="73"/>
      <c r="W236" s="73"/>
    </row>
    <row r="237" spans="1:23">
      <c r="A237" s="74">
        <f t="shared" si="54"/>
        <v>0</v>
      </c>
      <c r="B237" s="74"/>
      <c r="C237" s="226"/>
      <c r="D237" s="75">
        <f t="shared" si="59"/>
        <v>0</v>
      </c>
      <c r="E237" s="75">
        <f t="shared" si="59"/>
        <v>0</v>
      </c>
      <c r="F237" s="75">
        <f t="shared" si="59"/>
        <v>0</v>
      </c>
      <c r="G237" s="75">
        <f t="shared" si="59"/>
        <v>0</v>
      </c>
      <c r="H237" s="75">
        <f t="shared" si="59"/>
        <v>0</v>
      </c>
      <c r="I237" s="75">
        <f t="shared" si="59"/>
        <v>0</v>
      </c>
      <c r="J237" s="75">
        <f t="shared" si="59"/>
        <v>0</v>
      </c>
      <c r="K237" s="73"/>
      <c r="L237" s="73"/>
      <c r="M237" s="73"/>
      <c r="N237" s="73"/>
      <c r="O237" s="73"/>
      <c r="P237" s="73"/>
      <c r="Q237" s="73"/>
      <c r="R237" s="73"/>
      <c r="S237" s="73"/>
      <c r="T237" s="73"/>
      <c r="U237" s="73"/>
      <c r="V237" s="73"/>
      <c r="W237" s="73"/>
    </row>
    <row r="238" spans="1:23">
      <c r="A238" s="74">
        <f t="shared" si="54"/>
        <v>0</v>
      </c>
      <c r="B238" s="74"/>
      <c r="C238" s="226"/>
      <c r="D238" s="75">
        <f t="shared" si="59"/>
        <v>0</v>
      </c>
      <c r="E238" s="75">
        <f t="shared" si="59"/>
        <v>0</v>
      </c>
      <c r="F238" s="75">
        <f t="shared" si="59"/>
        <v>0</v>
      </c>
      <c r="G238" s="75">
        <f t="shared" si="59"/>
        <v>0</v>
      </c>
      <c r="H238" s="75">
        <f t="shared" si="59"/>
        <v>0</v>
      </c>
      <c r="I238" s="75">
        <f t="shared" si="59"/>
        <v>0</v>
      </c>
      <c r="J238" s="75">
        <f t="shared" si="59"/>
        <v>0</v>
      </c>
      <c r="K238" s="73"/>
      <c r="L238" s="73"/>
      <c r="M238" s="73"/>
      <c r="N238" s="73"/>
      <c r="O238" s="73"/>
      <c r="P238" s="73"/>
      <c r="Q238" s="73"/>
      <c r="R238" s="73"/>
      <c r="S238" s="73"/>
      <c r="T238" s="73"/>
      <c r="U238" s="73"/>
      <c r="V238" s="73"/>
      <c r="W238" s="73"/>
    </row>
    <row r="239" spans="1:23">
      <c r="A239" s="74">
        <f t="shared" si="54"/>
        <v>0</v>
      </c>
      <c r="B239" s="74"/>
      <c r="C239" s="226"/>
      <c r="D239" s="75">
        <f t="shared" si="59"/>
        <v>0</v>
      </c>
      <c r="E239" s="75">
        <f t="shared" si="59"/>
        <v>0</v>
      </c>
      <c r="F239" s="75">
        <f t="shared" si="59"/>
        <v>0</v>
      </c>
      <c r="G239" s="75">
        <f t="shared" si="59"/>
        <v>0</v>
      </c>
      <c r="H239" s="75">
        <f t="shared" si="59"/>
        <v>0</v>
      </c>
      <c r="I239" s="75">
        <f t="shared" si="59"/>
        <v>0</v>
      </c>
      <c r="J239" s="75">
        <f t="shared" si="59"/>
        <v>0</v>
      </c>
      <c r="K239" s="73"/>
      <c r="L239" s="73"/>
      <c r="M239" s="73"/>
      <c r="N239" s="73"/>
      <c r="O239" s="73"/>
      <c r="P239" s="73"/>
      <c r="Q239" s="73"/>
      <c r="R239" s="73"/>
      <c r="S239" s="73"/>
      <c r="T239" s="73"/>
      <c r="U239" s="73"/>
      <c r="V239" s="73"/>
      <c r="W239" s="73"/>
    </row>
    <row r="240" spans="1:23">
      <c r="A240" s="74" t="str">
        <f>A175</f>
        <v>Pomegranate</v>
      </c>
      <c r="B240" s="74"/>
      <c r="C240" s="226"/>
      <c r="D240" s="75">
        <f t="shared" ref="D240:J244" si="60">C107*$C240*D$124</f>
        <v>0</v>
      </c>
      <c r="E240" s="75">
        <f t="shared" si="60"/>
        <v>0</v>
      </c>
      <c r="F240" s="75">
        <f t="shared" si="60"/>
        <v>0</v>
      </c>
      <c r="G240" s="75">
        <f t="shared" si="60"/>
        <v>0</v>
      </c>
      <c r="H240" s="75">
        <f t="shared" si="60"/>
        <v>0</v>
      </c>
      <c r="I240" s="75">
        <f t="shared" si="60"/>
        <v>0</v>
      </c>
      <c r="J240" s="75">
        <f t="shared" si="60"/>
        <v>0</v>
      </c>
      <c r="K240" s="73"/>
      <c r="L240" s="73"/>
      <c r="M240" s="73"/>
      <c r="N240" s="73"/>
      <c r="O240" s="73"/>
      <c r="P240" s="73"/>
      <c r="Q240" s="73"/>
      <c r="R240" s="73"/>
      <c r="S240" s="73"/>
      <c r="T240" s="73"/>
      <c r="U240" s="73"/>
      <c r="V240" s="73"/>
      <c r="W240" s="73"/>
    </row>
    <row r="241" spans="1:23">
      <c r="A241" s="74" t="str">
        <f>A176</f>
        <v>Custard Apple</v>
      </c>
      <c r="B241" s="74"/>
      <c r="C241" s="226"/>
      <c r="D241" s="75">
        <f t="shared" si="60"/>
        <v>0</v>
      </c>
      <c r="E241" s="75">
        <f t="shared" si="60"/>
        <v>0</v>
      </c>
      <c r="F241" s="75">
        <f t="shared" si="60"/>
        <v>0</v>
      </c>
      <c r="G241" s="75">
        <f t="shared" si="60"/>
        <v>0</v>
      </c>
      <c r="H241" s="75">
        <f t="shared" si="60"/>
        <v>0</v>
      </c>
      <c r="I241" s="75">
        <f t="shared" si="60"/>
        <v>0</v>
      </c>
      <c r="J241" s="75">
        <f t="shared" si="60"/>
        <v>0</v>
      </c>
      <c r="K241" s="73"/>
      <c r="L241" s="73"/>
      <c r="M241" s="73"/>
      <c r="N241" s="73"/>
      <c r="O241" s="73"/>
      <c r="P241" s="73"/>
      <c r="Q241" s="73"/>
      <c r="R241" s="73"/>
      <c r="S241" s="73"/>
      <c r="T241" s="73"/>
      <c r="U241" s="73"/>
      <c r="V241" s="73"/>
      <c r="W241" s="73"/>
    </row>
    <row r="242" spans="1:23">
      <c r="A242" s="74" t="str">
        <f>A177</f>
        <v>Guava</v>
      </c>
      <c r="B242" s="74"/>
      <c r="C242" s="226"/>
      <c r="D242" s="75">
        <f t="shared" si="60"/>
        <v>0</v>
      </c>
      <c r="E242" s="75">
        <f t="shared" si="60"/>
        <v>0</v>
      </c>
      <c r="F242" s="75">
        <f t="shared" si="60"/>
        <v>0</v>
      </c>
      <c r="G242" s="75">
        <f t="shared" si="60"/>
        <v>0</v>
      </c>
      <c r="H242" s="75">
        <f t="shared" si="60"/>
        <v>0</v>
      </c>
      <c r="I242" s="75">
        <f t="shared" si="60"/>
        <v>0</v>
      </c>
      <c r="J242" s="75">
        <f t="shared" si="60"/>
        <v>0</v>
      </c>
      <c r="K242" s="73"/>
      <c r="L242" s="73"/>
      <c r="M242" s="73"/>
      <c r="N242" s="73"/>
      <c r="O242" s="73"/>
      <c r="P242" s="73"/>
      <c r="Q242" s="73"/>
      <c r="R242" s="73"/>
      <c r="S242" s="73"/>
      <c r="T242" s="73"/>
      <c r="U242" s="73"/>
      <c r="V242" s="73"/>
      <c r="W242" s="73"/>
    </row>
    <row r="243" spans="1:23">
      <c r="A243" s="74" t="str">
        <f>A178</f>
        <v>Citrus</v>
      </c>
      <c r="B243" s="74"/>
      <c r="C243" s="226"/>
      <c r="D243" s="75">
        <f t="shared" si="60"/>
        <v>0</v>
      </c>
      <c r="E243" s="75">
        <f t="shared" si="60"/>
        <v>0</v>
      </c>
      <c r="F243" s="75">
        <f t="shared" si="60"/>
        <v>0</v>
      </c>
      <c r="G243" s="75">
        <f t="shared" si="60"/>
        <v>0</v>
      </c>
      <c r="H243" s="75">
        <f t="shared" si="60"/>
        <v>0</v>
      </c>
      <c r="I243" s="75">
        <f t="shared" si="60"/>
        <v>0</v>
      </c>
      <c r="J243" s="75">
        <f t="shared" si="60"/>
        <v>0</v>
      </c>
      <c r="K243" s="73"/>
      <c r="L243" s="73"/>
      <c r="M243" s="73"/>
      <c r="N243" s="73"/>
      <c r="O243" s="73"/>
      <c r="P243" s="73"/>
      <c r="Q243" s="73"/>
      <c r="R243" s="73"/>
      <c r="S243" s="73"/>
      <c r="T243" s="73"/>
      <c r="U243" s="73"/>
      <c r="V243" s="73"/>
      <c r="W243" s="73"/>
    </row>
    <row r="244" spans="1:23">
      <c r="A244" s="74">
        <f>A179</f>
        <v>0</v>
      </c>
      <c r="B244" s="74"/>
      <c r="C244" s="226"/>
      <c r="D244" s="75">
        <f t="shared" si="60"/>
        <v>0</v>
      </c>
      <c r="E244" s="75">
        <f t="shared" si="60"/>
        <v>0</v>
      </c>
      <c r="F244" s="75">
        <f t="shared" si="60"/>
        <v>0</v>
      </c>
      <c r="G244" s="75">
        <f t="shared" si="60"/>
        <v>0</v>
      </c>
      <c r="H244" s="75">
        <f t="shared" si="60"/>
        <v>0</v>
      </c>
      <c r="I244" s="75">
        <f t="shared" si="60"/>
        <v>0</v>
      </c>
      <c r="J244" s="75">
        <f t="shared" si="60"/>
        <v>0</v>
      </c>
      <c r="K244" s="73"/>
      <c r="L244" s="73"/>
      <c r="M244" s="73"/>
      <c r="N244" s="73"/>
      <c r="O244" s="73"/>
      <c r="P244" s="73"/>
      <c r="Q244" s="73"/>
      <c r="R244" s="73"/>
      <c r="S244" s="73"/>
      <c r="T244" s="73"/>
      <c r="U244" s="73"/>
      <c r="V244" s="73"/>
      <c r="W244" s="73"/>
    </row>
    <row r="245" spans="1:23">
      <c r="A245" s="74" t="str">
        <f>A181</f>
        <v>Fertilizer(Rate/KG)</v>
      </c>
      <c r="B245" s="74"/>
      <c r="C245" s="75"/>
      <c r="D245" s="75"/>
      <c r="E245" s="75"/>
      <c r="F245" s="75"/>
      <c r="G245" s="75"/>
      <c r="H245" s="75"/>
      <c r="I245" s="75"/>
      <c r="J245" s="75"/>
      <c r="K245" s="73"/>
      <c r="L245" s="73"/>
      <c r="M245" s="73"/>
      <c r="N245" s="73"/>
      <c r="O245" s="73"/>
      <c r="P245" s="73"/>
      <c r="Q245" s="73"/>
      <c r="R245" s="73"/>
      <c r="S245" s="73"/>
      <c r="T245" s="73"/>
      <c r="U245" s="73"/>
      <c r="V245" s="73"/>
      <c r="W245" s="73"/>
    </row>
    <row r="246" spans="1:23">
      <c r="A246" s="74" t="str">
        <f>A182</f>
        <v>SSP</v>
      </c>
      <c r="B246" s="74"/>
      <c r="C246" s="226">
        <v>6</v>
      </c>
      <c r="D246" s="75">
        <f t="shared" ref="D246:J246" si="61">C114*$C$246*D124</f>
        <v>7166937.375</v>
      </c>
      <c r="E246" s="75">
        <f t="shared" si="61"/>
        <v>8147031.3749999981</v>
      </c>
      <c r="F246" s="75">
        <f t="shared" si="61"/>
        <v>9188381.2500000019</v>
      </c>
      <c r="G246" s="75">
        <f t="shared" si="61"/>
        <v>9800940.0000000019</v>
      </c>
      <c r="H246" s="75">
        <f t="shared" si="61"/>
        <v>10413498.750000002</v>
      </c>
      <c r="I246" s="75">
        <f t="shared" si="61"/>
        <v>11026057.500000004</v>
      </c>
      <c r="J246" s="75">
        <f t="shared" si="61"/>
        <v>11638616.250000004</v>
      </c>
      <c r="K246" s="73"/>
      <c r="L246" s="73"/>
      <c r="M246" s="73"/>
      <c r="N246" s="73"/>
      <c r="O246" s="73"/>
      <c r="P246" s="73"/>
      <c r="Q246" s="73"/>
      <c r="R246" s="73"/>
      <c r="S246" s="73"/>
      <c r="T246" s="73"/>
      <c r="U246" s="73"/>
      <c r="V246" s="73"/>
      <c r="W246" s="73"/>
    </row>
    <row r="247" spans="1:23">
      <c r="A247" s="74" t="str">
        <f>A183</f>
        <v>Urea</v>
      </c>
      <c r="B247" s="74"/>
      <c r="C247" s="226">
        <v>5</v>
      </c>
      <c r="D247" s="75">
        <f t="shared" ref="D247:J247" si="62">C115*$C$247*D124</f>
        <v>2388979.125</v>
      </c>
      <c r="E247" s="75">
        <f t="shared" si="62"/>
        <v>2715677.125</v>
      </c>
      <c r="F247" s="75">
        <f t="shared" si="62"/>
        <v>3062793.7500000005</v>
      </c>
      <c r="G247" s="75">
        <f t="shared" si="62"/>
        <v>3266980</v>
      </c>
      <c r="H247" s="75">
        <f t="shared" si="62"/>
        <v>3471166.2500000005</v>
      </c>
      <c r="I247" s="75">
        <f t="shared" si="62"/>
        <v>3675352.5000000009</v>
      </c>
      <c r="J247" s="75">
        <f t="shared" si="62"/>
        <v>3879538.7500000009</v>
      </c>
      <c r="K247" s="73"/>
      <c r="L247" s="73"/>
      <c r="M247" s="73"/>
      <c r="N247" s="73"/>
      <c r="O247" s="73"/>
      <c r="P247" s="73"/>
      <c r="Q247" s="73"/>
      <c r="R247" s="73"/>
      <c r="S247" s="73"/>
      <c r="T247" s="73"/>
      <c r="U247" s="73"/>
      <c r="V247" s="73"/>
      <c r="W247" s="73"/>
    </row>
    <row r="248" spans="1:23">
      <c r="A248" s="74" t="str">
        <f>A184</f>
        <v>DAP</v>
      </c>
      <c r="B248" s="74"/>
      <c r="C248" s="226">
        <v>27</v>
      </c>
      <c r="D248" s="75">
        <f t="shared" ref="D248:J248" si="63">C116*$C$248*D124</f>
        <v>6450243.6375000002</v>
      </c>
      <c r="E248" s="75">
        <f t="shared" si="63"/>
        <v>7332328.2374999998</v>
      </c>
      <c r="F248" s="75">
        <f t="shared" si="63"/>
        <v>8269543.1250000019</v>
      </c>
      <c r="G248" s="75">
        <f t="shared" si="63"/>
        <v>8820846</v>
      </c>
      <c r="H248" s="75">
        <f t="shared" si="63"/>
        <v>9372148.8750000019</v>
      </c>
      <c r="I248" s="75">
        <f t="shared" si="63"/>
        <v>9923451.7500000037</v>
      </c>
      <c r="J248" s="75">
        <f t="shared" si="63"/>
        <v>10474754.625000004</v>
      </c>
      <c r="K248" s="73"/>
      <c r="L248" s="73"/>
      <c r="M248" s="73"/>
      <c r="N248" s="73"/>
      <c r="O248" s="73"/>
      <c r="P248" s="73"/>
      <c r="Q248" s="73"/>
      <c r="R248" s="73"/>
      <c r="S248" s="73"/>
      <c r="T248" s="73"/>
      <c r="U248" s="73"/>
      <c r="V248" s="73"/>
      <c r="W248" s="73"/>
    </row>
    <row r="249" spans="1:23">
      <c r="A249" s="74"/>
      <c r="B249" s="74"/>
      <c r="C249" s="75"/>
      <c r="D249" s="75"/>
      <c r="E249" s="75"/>
      <c r="F249" s="75"/>
      <c r="G249" s="75"/>
      <c r="H249" s="75"/>
      <c r="I249" s="75"/>
      <c r="J249" s="75"/>
      <c r="K249" s="73"/>
      <c r="L249" s="73"/>
      <c r="M249" s="73"/>
      <c r="N249" s="73"/>
      <c r="O249" s="73"/>
      <c r="P249" s="73"/>
      <c r="Q249" s="73"/>
      <c r="R249" s="73"/>
      <c r="S249" s="73"/>
      <c r="T249" s="73"/>
      <c r="U249" s="73"/>
      <c r="V249" s="73"/>
      <c r="W249" s="73"/>
    </row>
    <row r="250" spans="1:23">
      <c r="A250" s="74" t="str">
        <f>A186</f>
        <v>Pesticide</v>
      </c>
      <c r="B250" s="74"/>
      <c r="C250" s="75"/>
      <c r="D250" s="75"/>
      <c r="E250" s="75"/>
      <c r="F250" s="75"/>
      <c r="G250" s="75"/>
      <c r="H250" s="75"/>
      <c r="I250" s="75"/>
      <c r="J250" s="75"/>
      <c r="K250" s="73"/>
      <c r="L250" s="73"/>
      <c r="M250" s="73"/>
      <c r="N250" s="73"/>
      <c r="O250" s="73"/>
      <c r="P250" s="73"/>
      <c r="Q250" s="73"/>
      <c r="R250" s="73"/>
      <c r="S250" s="73"/>
      <c r="T250" s="73"/>
      <c r="U250" s="73"/>
      <c r="V250" s="73"/>
      <c r="W250" s="73"/>
    </row>
    <row r="251" spans="1:23">
      <c r="A251" s="74" t="str">
        <f>A187</f>
        <v>Dupont Coragen</v>
      </c>
      <c r="B251" s="74"/>
      <c r="C251" s="226">
        <v>2800</v>
      </c>
      <c r="D251" s="75">
        <f t="shared" ref="D251:J251" si="64">C118*$C$251*D124</f>
        <v>13378283.100000001</v>
      </c>
      <c r="E251" s="75">
        <f t="shared" si="64"/>
        <v>15207791.899999999</v>
      </c>
      <c r="F251" s="75">
        <f t="shared" si="64"/>
        <v>17151645.000000004</v>
      </c>
      <c r="G251" s="75">
        <f t="shared" si="64"/>
        <v>18295088.000000004</v>
      </c>
      <c r="H251" s="75">
        <f t="shared" si="64"/>
        <v>19438531.000000004</v>
      </c>
      <c r="I251" s="75">
        <f t="shared" si="64"/>
        <v>20581974.000000004</v>
      </c>
      <c r="J251" s="75">
        <f t="shared" si="64"/>
        <v>21725417.000000007</v>
      </c>
      <c r="K251" s="73"/>
      <c r="L251" s="73"/>
      <c r="M251" s="73"/>
      <c r="N251" s="73"/>
      <c r="O251" s="73"/>
      <c r="P251" s="73"/>
      <c r="Q251" s="73"/>
      <c r="R251" s="73"/>
      <c r="S251" s="73"/>
      <c r="T251" s="73"/>
      <c r="U251" s="73"/>
      <c r="V251" s="73"/>
      <c r="W251" s="73"/>
    </row>
    <row r="252" spans="1:23">
      <c r="A252" s="74" t="str">
        <f>A188</f>
        <v>Confidor Boyer</v>
      </c>
      <c r="B252" s="74"/>
      <c r="C252" s="226">
        <v>2000</v>
      </c>
      <c r="D252" s="75">
        <f t="shared" ref="D252:J252" si="65">C119*$C$252*D124</f>
        <v>23889791.25</v>
      </c>
      <c r="E252" s="75">
        <f t="shared" si="65"/>
        <v>27156771.249999996</v>
      </c>
      <c r="F252" s="75">
        <f t="shared" si="65"/>
        <v>30627937.500000004</v>
      </c>
      <c r="G252" s="75">
        <f t="shared" si="65"/>
        <v>32669800.000000004</v>
      </c>
      <c r="H252" s="75">
        <f t="shared" si="65"/>
        <v>34711662.500000007</v>
      </c>
      <c r="I252" s="75">
        <f t="shared" si="65"/>
        <v>36753525.000000007</v>
      </c>
      <c r="J252" s="75">
        <f t="shared" si="65"/>
        <v>38795387.500000015</v>
      </c>
      <c r="K252" s="73"/>
      <c r="L252" s="73"/>
      <c r="M252" s="73"/>
      <c r="N252" s="73"/>
      <c r="O252" s="73"/>
      <c r="P252" s="73"/>
      <c r="Q252" s="73"/>
      <c r="R252" s="73"/>
      <c r="S252" s="73"/>
      <c r="T252" s="73"/>
      <c r="U252" s="73"/>
      <c r="V252" s="73"/>
      <c r="W252" s="73"/>
    </row>
    <row r="253" spans="1:23">
      <c r="A253" s="74"/>
      <c r="B253" s="74"/>
      <c r="C253" s="75"/>
      <c r="D253" s="75"/>
      <c r="E253" s="75"/>
      <c r="F253" s="75"/>
      <c r="G253" s="75"/>
      <c r="H253" s="75"/>
      <c r="I253" s="75"/>
      <c r="J253" s="75"/>
      <c r="K253" s="73"/>
      <c r="L253" s="73"/>
      <c r="M253" s="73"/>
      <c r="N253" s="73"/>
      <c r="O253" s="73"/>
      <c r="P253" s="73"/>
      <c r="Q253" s="73"/>
      <c r="R253" s="73"/>
      <c r="S253" s="73"/>
      <c r="T253" s="73"/>
      <c r="U253" s="73"/>
      <c r="V253" s="73"/>
      <c r="W253" s="73"/>
    </row>
    <row r="254" spans="1:23">
      <c r="A254" s="74" t="s">
        <v>288</v>
      </c>
      <c r="B254" s="74"/>
      <c r="C254" s="226">
        <v>8</v>
      </c>
      <c r="D254" s="75">
        <f t="shared" ref="D254:J254" si="66">(SUM(C63:C119)/50)*$C$254*D124</f>
        <v>312287.35122000001</v>
      </c>
      <c r="E254" s="75">
        <f t="shared" si="66"/>
        <v>354993.31377999991</v>
      </c>
      <c r="F254" s="75">
        <f t="shared" si="66"/>
        <v>400368.39900000003</v>
      </c>
      <c r="G254" s="75">
        <f t="shared" si="66"/>
        <v>427059.62560000003</v>
      </c>
      <c r="H254" s="75">
        <f t="shared" si="66"/>
        <v>453750.85220000008</v>
      </c>
      <c r="I254" s="75">
        <f t="shared" si="66"/>
        <v>480442.07880000008</v>
      </c>
      <c r="J254" s="75">
        <f t="shared" si="66"/>
        <v>507133.30540000013</v>
      </c>
      <c r="K254" s="73"/>
      <c r="L254" s="73"/>
      <c r="M254" s="73"/>
      <c r="N254" s="73"/>
      <c r="O254" s="73"/>
      <c r="P254" s="73"/>
      <c r="Q254" s="73"/>
      <c r="R254" s="73"/>
      <c r="S254" s="73"/>
      <c r="T254" s="73"/>
      <c r="U254" s="73"/>
      <c r="V254" s="73"/>
      <c r="W254" s="73"/>
    </row>
    <row r="255" spans="1:23">
      <c r="A255" s="74" t="s">
        <v>171</v>
      </c>
      <c r="B255" s="74"/>
      <c r="C255" s="226">
        <v>75</v>
      </c>
      <c r="D255" s="75">
        <f t="shared" ref="D255:J255" si="67">(SUM(C63:C119)/50)*$C$255*D124</f>
        <v>2927693.9176874999</v>
      </c>
      <c r="E255" s="75">
        <f t="shared" si="67"/>
        <v>3328062.3166874992</v>
      </c>
      <c r="F255" s="75">
        <f t="shared" si="67"/>
        <v>3753453.7406250001</v>
      </c>
      <c r="G255" s="75">
        <f t="shared" si="67"/>
        <v>4003683.99</v>
      </c>
      <c r="H255" s="75">
        <f t="shared" si="67"/>
        <v>4253914.2393750008</v>
      </c>
      <c r="I255" s="75">
        <f t="shared" si="67"/>
        <v>4504144.4887500005</v>
      </c>
      <c r="J255" s="75">
        <f t="shared" si="67"/>
        <v>4754374.7381250011</v>
      </c>
      <c r="K255" s="73"/>
      <c r="L255" s="73"/>
      <c r="M255" s="73"/>
      <c r="N255" s="73"/>
      <c r="O255" s="73"/>
      <c r="P255" s="73"/>
      <c r="Q255" s="73"/>
      <c r="R255" s="73"/>
      <c r="S255" s="73"/>
      <c r="T255" s="73"/>
      <c r="U255" s="73"/>
      <c r="V255" s="73"/>
      <c r="W255" s="73"/>
    </row>
    <row r="256" spans="1:23">
      <c r="A256" s="74"/>
      <c r="B256" s="74"/>
      <c r="C256" s="226"/>
      <c r="D256" s="174"/>
      <c r="E256" s="75"/>
      <c r="F256" s="75"/>
      <c r="G256" s="75"/>
      <c r="H256" s="75"/>
      <c r="I256" s="75"/>
      <c r="J256" s="75"/>
      <c r="K256" s="73"/>
      <c r="L256" s="73"/>
      <c r="M256" s="73"/>
      <c r="N256" s="73"/>
      <c r="O256" s="73"/>
      <c r="P256" s="73"/>
      <c r="Q256" s="73"/>
      <c r="R256" s="73"/>
      <c r="S256" s="73"/>
      <c r="T256" s="73"/>
      <c r="U256" s="73"/>
      <c r="V256" s="73"/>
      <c r="W256" s="73"/>
    </row>
    <row r="257" spans="1:23">
      <c r="A257" s="74"/>
      <c r="B257" s="74"/>
      <c r="C257" s="226"/>
      <c r="D257" s="174"/>
      <c r="E257" s="75"/>
      <c r="F257" s="75"/>
      <c r="G257" s="75"/>
      <c r="H257" s="75"/>
      <c r="I257" s="75"/>
      <c r="J257" s="75"/>
      <c r="K257" s="73"/>
      <c r="L257" s="73"/>
      <c r="M257" s="73"/>
      <c r="N257" s="73"/>
      <c r="O257" s="73"/>
      <c r="P257" s="73"/>
      <c r="Q257" s="73"/>
      <c r="R257" s="73"/>
      <c r="S257" s="73"/>
      <c r="T257" s="73"/>
      <c r="U257" s="73"/>
      <c r="V257" s="73"/>
      <c r="W257" s="73"/>
    </row>
    <row r="258" spans="1:23">
      <c r="A258" s="74"/>
      <c r="B258" s="74"/>
      <c r="C258" s="226"/>
      <c r="D258" s="174"/>
      <c r="E258" s="75"/>
      <c r="F258" s="75"/>
      <c r="G258" s="75"/>
      <c r="H258" s="75"/>
      <c r="I258" s="75"/>
      <c r="J258" s="75"/>
      <c r="K258" s="73"/>
      <c r="L258" s="73"/>
      <c r="M258" s="73"/>
      <c r="N258" s="73"/>
      <c r="O258" s="73"/>
      <c r="P258" s="73"/>
      <c r="Q258" s="73"/>
      <c r="R258" s="73"/>
      <c r="S258" s="73"/>
      <c r="T258" s="73"/>
      <c r="U258" s="73"/>
      <c r="V258" s="73"/>
      <c r="W258" s="73"/>
    </row>
    <row r="259" spans="1:23">
      <c r="A259" s="74"/>
      <c r="B259" s="74"/>
      <c r="C259" s="226"/>
      <c r="D259" s="174"/>
      <c r="E259" s="75"/>
      <c r="F259" s="75"/>
      <c r="G259" s="75"/>
      <c r="H259" s="75"/>
      <c r="I259" s="75"/>
      <c r="J259" s="75"/>
      <c r="K259" s="73"/>
      <c r="L259" s="73"/>
      <c r="M259" s="73"/>
      <c r="N259" s="73"/>
      <c r="O259" s="73"/>
      <c r="P259" s="73"/>
      <c r="Q259" s="73"/>
      <c r="R259" s="73"/>
      <c r="S259" s="73"/>
      <c r="T259" s="73"/>
      <c r="U259" s="73"/>
      <c r="V259" s="73"/>
      <c r="W259" s="73"/>
    </row>
    <row r="260" spans="1:23">
      <c r="A260" s="74" t="s">
        <v>343</v>
      </c>
      <c r="B260" s="74"/>
      <c r="C260" s="75"/>
      <c r="D260" s="174"/>
      <c r="E260" s="75">
        <f>'5.Closing Stock &amp; W Capital'!F6</f>
        <v>2908770.7696953751</v>
      </c>
      <c r="F260" s="75">
        <f>'5.Closing Stock &amp; W Capital'!G6</f>
        <v>3306551.3877733755</v>
      </c>
      <c r="G260" s="75">
        <f>'5.Closing Stock &amp; W Capital'!H6</f>
        <v>3729193.2944812509</v>
      </c>
      <c r="H260" s="75">
        <f>'5.Closing Stock &amp; W Capital'!I6</f>
        <v>3977806.1807799996</v>
      </c>
      <c r="I260" s="75">
        <f>'5.Closing Stock &amp; W Capital'!J6</f>
        <v>4226419.0670787506</v>
      </c>
      <c r="J260" s="75">
        <f>'5.Closing Stock &amp; W Capital'!K6</f>
        <v>4475031.9533775011</v>
      </c>
      <c r="K260" s="73"/>
      <c r="L260" s="73"/>
      <c r="M260" s="73"/>
      <c r="N260" s="73"/>
      <c r="O260" s="73"/>
      <c r="P260" s="73"/>
      <c r="Q260" s="73"/>
      <c r="R260" s="73"/>
      <c r="S260" s="73"/>
      <c r="T260" s="73"/>
      <c r="U260" s="73"/>
      <c r="V260" s="73"/>
      <c r="W260" s="73"/>
    </row>
    <row r="261" spans="1:23">
      <c r="A261" s="74" t="s">
        <v>344</v>
      </c>
      <c r="B261" s="74"/>
      <c r="C261" s="74"/>
      <c r="D261" s="174">
        <f>'5.Closing Stock &amp; W Capital'!E15</f>
        <v>2908770.7696953751</v>
      </c>
      <c r="E261" s="75">
        <f>'5.Closing Stock &amp; W Capital'!F15</f>
        <v>3306551.3877733755</v>
      </c>
      <c r="F261" s="75">
        <f>'5.Closing Stock &amp; W Capital'!G15</f>
        <v>3729193.2944812509</v>
      </c>
      <c r="G261" s="75">
        <f>'5.Closing Stock &amp; W Capital'!H15</f>
        <v>3977806.1807799996</v>
      </c>
      <c r="H261" s="75">
        <f>'5.Closing Stock &amp; W Capital'!I15</f>
        <v>4226419.0670787506</v>
      </c>
      <c r="I261" s="75">
        <f>'5.Closing Stock &amp; W Capital'!J15</f>
        <v>4475031.9533775011</v>
      </c>
      <c r="J261" s="75">
        <f>'5.Closing Stock &amp; W Capital'!K15</f>
        <v>4723644.8396762516</v>
      </c>
      <c r="K261" s="73"/>
      <c r="L261" s="73"/>
      <c r="M261" s="73"/>
      <c r="N261" s="73"/>
      <c r="O261" s="73"/>
      <c r="P261" s="73"/>
      <c r="Q261" s="73"/>
      <c r="R261" s="73"/>
      <c r="S261" s="73"/>
      <c r="T261" s="73"/>
      <c r="U261" s="73"/>
      <c r="V261" s="73"/>
      <c r="W261" s="73"/>
    </row>
    <row r="262" spans="1:23">
      <c r="A262" s="74"/>
      <c r="B262" s="74"/>
      <c r="C262" s="74"/>
      <c r="D262" s="73"/>
      <c r="E262" s="73"/>
      <c r="F262" s="73"/>
      <c r="G262" s="73"/>
      <c r="H262" s="73"/>
      <c r="I262" s="73"/>
      <c r="J262" s="73"/>
      <c r="K262" s="73"/>
      <c r="L262" s="73"/>
      <c r="M262" s="73"/>
      <c r="N262" s="73"/>
      <c r="O262" s="73"/>
      <c r="P262" s="73"/>
      <c r="Q262" s="73"/>
      <c r="R262" s="73"/>
      <c r="S262" s="73"/>
      <c r="T262" s="73"/>
      <c r="U262" s="73"/>
      <c r="V262" s="73"/>
      <c r="W262" s="73"/>
    </row>
    <row r="263" spans="1:23">
      <c r="A263" s="76" t="s">
        <v>319</v>
      </c>
      <c r="B263" s="76"/>
      <c r="C263" s="92"/>
      <c r="D263" s="92">
        <f>SUM(D198:D259)+D260-D261</f>
        <v>55266644.624212116</v>
      </c>
      <c r="E263" s="92">
        <f t="shared" ref="E263:J263" si="68">SUM(E198:E259)+E260-E261</f>
        <v>65733247.137389503</v>
      </c>
      <c r="F263" s="92">
        <f t="shared" si="68"/>
        <v>74161223.982917145</v>
      </c>
      <c r="G263" s="92">
        <f t="shared" si="68"/>
        <v>79307510.729301244</v>
      </c>
      <c r="H263" s="92">
        <f t="shared" si="68"/>
        <v>84279768.455276251</v>
      </c>
      <c r="I263" s="92">
        <f t="shared" si="68"/>
        <v>89252026.181251273</v>
      </c>
      <c r="J263" s="92">
        <f t="shared" si="68"/>
        <v>94224283.907226279</v>
      </c>
      <c r="K263" s="73"/>
      <c r="L263" s="73"/>
      <c r="M263" s="73"/>
      <c r="N263" s="73"/>
      <c r="O263" s="73"/>
      <c r="P263" s="73"/>
      <c r="Q263" s="73"/>
      <c r="R263" s="73"/>
      <c r="S263" s="73"/>
      <c r="T263" s="73"/>
      <c r="U263" s="73"/>
      <c r="V263" s="73"/>
      <c r="W263" s="73"/>
    </row>
    <row r="264" spans="1:23">
      <c r="A264" s="74"/>
      <c r="B264" s="74"/>
      <c r="C264" s="75"/>
      <c r="D264" s="75"/>
      <c r="E264" s="75"/>
      <c r="F264" s="75"/>
      <c r="G264" s="75"/>
      <c r="H264" s="75"/>
      <c r="I264" s="75"/>
      <c r="J264" s="75"/>
      <c r="K264" s="73"/>
      <c r="L264" s="73"/>
      <c r="M264" s="73"/>
      <c r="N264" s="73"/>
      <c r="O264" s="73"/>
      <c r="P264" s="73"/>
      <c r="Q264" s="73"/>
      <c r="R264" s="73"/>
      <c r="S264" s="73"/>
      <c r="T264" s="73"/>
      <c r="U264" s="73"/>
      <c r="V264" s="73"/>
      <c r="W264" s="73"/>
    </row>
    <row r="265" spans="1:23">
      <c r="A265" s="76" t="s">
        <v>306</v>
      </c>
      <c r="B265" s="76"/>
      <c r="C265" s="75"/>
      <c r="D265" s="75"/>
      <c r="E265" s="75"/>
      <c r="F265" s="75"/>
      <c r="G265" s="75"/>
      <c r="H265" s="75"/>
      <c r="I265" s="75"/>
      <c r="J265" s="75"/>
      <c r="K265" s="73"/>
      <c r="L265" s="73"/>
      <c r="M265" s="73"/>
      <c r="N265" s="73"/>
      <c r="O265" s="73"/>
      <c r="P265" s="73"/>
      <c r="Q265" s="73"/>
      <c r="R265" s="73"/>
      <c r="S265" s="73"/>
      <c r="T265" s="73"/>
      <c r="U265" s="73"/>
      <c r="V265" s="73"/>
      <c r="W265" s="73"/>
    </row>
    <row r="266" spans="1:23">
      <c r="A266" s="74" t="s">
        <v>324</v>
      </c>
      <c r="B266" s="74">
        <v>12</v>
      </c>
      <c r="C266" s="226"/>
      <c r="D266" s="75">
        <f t="shared" ref="D266:J266" si="69">$B$266*$C$266*D124</f>
        <v>0</v>
      </c>
      <c r="E266" s="75">
        <f t="shared" si="69"/>
        <v>0</v>
      </c>
      <c r="F266" s="75">
        <f t="shared" si="69"/>
        <v>0</v>
      </c>
      <c r="G266" s="75">
        <f t="shared" si="69"/>
        <v>0</v>
      </c>
      <c r="H266" s="75">
        <f t="shared" si="69"/>
        <v>0</v>
      </c>
      <c r="I266" s="75">
        <f t="shared" si="69"/>
        <v>0</v>
      </c>
      <c r="J266" s="75">
        <f t="shared" si="69"/>
        <v>0</v>
      </c>
      <c r="K266" s="73"/>
      <c r="L266" s="73"/>
      <c r="M266" s="73"/>
      <c r="N266" s="73"/>
      <c r="O266" s="73"/>
      <c r="P266" s="73"/>
      <c r="Q266" s="73"/>
      <c r="R266" s="73"/>
      <c r="S266" s="73"/>
      <c r="T266" s="73"/>
      <c r="U266" s="73"/>
      <c r="V266" s="73"/>
      <c r="W266" s="73"/>
    </row>
    <row r="267" spans="1:23">
      <c r="A267" s="74" t="s">
        <v>325</v>
      </c>
      <c r="B267" s="202">
        <v>2</v>
      </c>
      <c r="C267" s="226">
        <v>15000</v>
      </c>
      <c r="D267" s="75">
        <f>$B$267*$C$267*12</f>
        <v>360000</v>
      </c>
      <c r="E267" s="75">
        <f>$B$267*$C$267*12</f>
        <v>360000</v>
      </c>
      <c r="F267" s="75">
        <f t="shared" ref="F267:J267" si="70">$B$267*$C$267*12*F124</f>
        <v>360000</v>
      </c>
      <c r="G267" s="75">
        <f t="shared" si="70"/>
        <v>360000</v>
      </c>
      <c r="H267" s="75">
        <f t="shared" si="70"/>
        <v>360000</v>
      </c>
      <c r="I267" s="75">
        <f t="shared" si="70"/>
        <v>360000</v>
      </c>
      <c r="J267" s="75">
        <f t="shared" si="70"/>
        <v>360000</v>
      </c>
      <c r="K267" s="73"/>
      <c r="L267" s="73"/>
      <c r="M267" s="73"/>
      <c r="N267" s="73"/>
      <c r="O267" s="73"/>
      <c r="P267" s="73"/>
      <c r="Q267" s="73"/>
      <c r="R267" s="73"/>
      <c r="S267" s="73"/>
      <c r="T267" s="73"/>
      <c r="U267" s="73"/>
      <c r="V267" s="73"/>
      <c r="W267" s="73"/>
    </row>
    <row r="268" spans="1:23">
      <c r="A268" s="74" t="s">
        <v>190</v>
      </c>
      <c r="B268" s="202">
        <v>1</v>
      </c>
      <c r="C268" s="226">
        <v>7500</v>
      </c>
      <c r="D268" s="75">
        <f>$B$268*$C$268*12</f>
        <v>90000</v>
      </c>
      <c r="E268" s="75">
        <f>$B$268*$C$268*12</f>
        <v>90000</v>
      </c>
      <c r="F268" s="75">
        <f t="shared" ref="F268:J268" si="71">$B$268*$C$268*12*F124</f>
        <v>90000</v>
      </c>
      <c r="G268" s="75">
        <f t="shared" si="71"/>
        <v>90000</v>
      </c>
      <c r="H268" s="75">
        <f t="shared" si="71"/>
        <v>90000</v>
      </c>
      <c r="I268" s="75">
        <f t="shared" si="71"/>
        <v>90000</v>
      </c>
      <c r="J268" s="75">
        <f t="shared" si="71"/>
        <v>90000</v>
      </c>
      <c r="K268" s="73"/>
      <c r="L268" s="73"/>
      <c r="M268" s="73"/>
      <c r="N268" s="73"/>
      <c r="O268" s="73"/>
      <c r="P268" s="73"/>
      <c r="Q268" s="73"/>
      <c r="R268" s="73"/>
      <c r="S268" s="73"/>
      <c r="T268" s="73"/>
      <c r="U268" s="73"/>
      <c r="V268" s="73"/>
      <c r="W268" s="73"/>
    </row>
    <row r="269" spans="1:23">
      <c r="A269" s="74" t="s">
        <v>326</v>
      </c>
      <c r="B269" s="74">
        <v>12</v>
      </c>
      <c r="C269" s="226"/>
      <c r="D269" s="75">
        <f t="shared" ref="D269:J269" si="72">$B$269*$C$269*D124</f>
        <v>0</v>
      </c>
      <c r="E269" s="75">
        <f t="shared" si="72"/>
        <v>0</v>
      </c>
      <c r="F269" s="75">
        <f t="shared" si="72"/>
        <v>0</v>
      </c>
      <c r="G269" s="75">
        <f t="shared" si="72"/>
        <v>0</v>
      </c>
      <c r="H269" s="75">
        <f t="shared" si="72"/>
        <v>0</v>
      </c>
      <c r="I269" s="75">
        <f t="shared" si="72"/>
        <v>0</v>
      </c>
      <c r="J269" s="75">
        <f t="shared" si="72"/>
        <v>0</v>
      </c>
      <c r="K269" s="73"/>
      <c r="L269" s="73"/>
      <c r="M269" s="73"/>
      <c r="N269" s="73"/>
      <c r="O269" s="73"/>
      <c r="P269" s="73"/>
      <c r="Q269" s="73"/>
      <c r="R269" s="73"/>
      <c r="S269" s="73"/>
      <c r="T269" s="73"/>
      <c r="U269" s="73"/>
      <c r="V269" s="73"/>
      <c r="W269" s="73"/>
    </row>
    <row r="270" spans="1:23">
      <c r="A270" s="74"/>
      <c r="B270" s="74"/>
      <c r="C270" s="226"/>
      <c r="D270" s="75"/>
      <c r="E270" s="75"/>
      <c r="F270" s="75"/>
      <c r="G270" s="75"/>
      <c r="H270" s="75"/>
      <c r="I270" s="75"/>
      <c r="J270" s="75"/>
      <c r="K270" s="73"/>
      <c r="L270" s="73"/>
      <c r="M270" s="73"/>
      <c r="N270" s="73"/>
      <c r="O270" s="73"/>
      <c r="P270" s="73"/>
      <c r="Q270" s="73"/>
      <c r="R270" s="73"/>
      <c r="S270" s="73"/>
      <c r="T270" s="73"/>
      <c r="U270" s="73"/>
      <c r="V270" s="73"/>
      <c r="W270" s="73"/>
    </row>
    <row r="271" spans="1:23">
      <c r="A271" s="74"/>
      <c r="B271" s="74"/>
      <c r="C271" s="226"/>
      <c r="D271" s="75"/>
      <c r="E271" s="75"/>
      <c r="F271" s="75"/>
      <c r="G271" s="75"/>
      <c r="H271" s="75"/>
      <c r="I271" s="75"/>
      <c r="J271" s="75"/>
      <c r="K271" s="73"/>
      <c r="L271" s="73"/>
      <c r="M271" s="73"/>
      <c r="N271" s="73"/>
      <c r="O271" s="73"/>
      <c r="P271" s="73"/>
      <c r="Q271" s="73"/>
      <c r="R271" s="73"/>
      <c r="S271" s="73"/>
      <c r="T271" s="73"/>
      <c r="U271" s="73"/>
      <c r="V271" s="73"/>
      <c r="W271" s="73"/>
    </row>
    <row r="272" spans="1:23">
      <c r="A272" s="74"/>
      <c r="B272" s="74"/>
      <c r="C272" s="226"/>
      <c r="D272" s="75"/>
      <c r="E272" s="75"/>
      <c r="F272" s="75"/>
      <c r="G272" s="75"/>
      <c r="H272" s="75"/>
      <c r="I272" s="75"/>
      <c r="J272" s="75"/>
      <c r="K272" s="73"/>
      <c r="L272" s="73"/>
      <c r="M272" s="73"/>
      <c r="N272" s="73"/>
      <c r="O272" s="73"/>
      <c r="P272" s="73"/>
      <c r="Q272" s="73"/>
      <c r="R272" s="73"/>
      <c r="S272" s="73"/>
      <c r="T272" s="73"/>
      <c r="U272" s="73"/>
      <c r="V272" s="73"/>
      <c r="W272" s="73"/>
    </row>
    <row r="273" spans="1:23">
      <c r="A273" s="74"/>
      <c r="B273" s="74"/>
      <c r="C273" s="226"/>
      <c r="D273" s="75"/>
      <c r="E273" s="75"/>
      <c r="F273" s="75"/>
      <c r="G273" s="75"/>
      <c r="H273" s="75"/>
      <c r="I273" s="75"/>
      <c r="J273" s="75"/>
      <c r="K273" s="73"/>
      <c r="L273" s="73"/>
      <c r="M273" s="73"/>
      <c r="N273" s="73"/>
      <c r="O273" s="73"/>
      <c r="P273" s="73"/>
      <c r="Q273" s="73"/>
      <c r="R273" s="73"/>
      <c r="S273" s="73"/>
      <c r="T273" s="73"/>
      <c r="U273" s="73"/>
      <c r="V273" s="73"/>
      <c r="W273" s="73"/>
    </row>
    <row r="274" spans="1:23">
      <c r="A274" s="76" t="s">
        <v>323</v>
      </c>
      <c r="B274" s="76"/>
      <c r="C274" s="92"/>
      <c r="D274" s="92">
        <f>SUM(D266:D273)</f>
        <v>450000</v>
      </c>
      <c r="E274" s="92">
        <f t="shared" ref="E274:J274" si="73">SUM(E266:E273)</f>
        <v>450000</v>
      </c>
      <c r="F274" s="92">
        <f t="shared" si="73"/>
        <v>450000</v>
      </c>
      <c r="G274" s="92">
        <f t="shared" si="73"/>
        <v>450000</v>
      </c>
      <c r="H274" s="92">
        <f t="shared" si="73"/>
        <v>450000</v>
      </c>
      <c r="I274" s="92">
        <f t="shared" si="73"/>
        <v>450000</v>
      </c>
      <c r="J274" s="92">
        <f t="shared" si="73"/>
        <v>450000</v>
      </c>
      <c r="K274" s="73"/>
      <c r="L274" s="73"/>
      <c r="M274" s="73"/>
      <c r="N274" s="73"/>
      <c r="O274" s="73"/>
      <c r="P274" s="73"/>
      <c r="Q274" s="73"/>
      <c r="R274" s="73"/>
      <c r="S274" s="73"/>
      <c r="T274" s="73"/>
      <c r="U274" s="73"/>
      <c r="V274" s="73"/>
      <c r="W274" s="73"/>
    </row>
    <row r="275" spans="1:23">
      <c r="A275" s="167" t="s">
        <v>135</v>
      </c>
      <c r="B275" s="167"/>
      <c r="C275" s="175"/>
      <c r="D275" s="92">
        <f t="shared" ref="D275:J275" si="74">D263+D274</f>
        <v>55716644.624212116</v>
      </c>
      <c r="E275" s="92">
        <f t="shared" si="74"/>
        <v>66183247.137389503</v>
      </c>
      <c r="F275" s="92">
        <f t="shared" si="74"/>
        <v>74611223.982917145</v>
      </c>
      <c r="G275" s="92">
        <f t="shared" si="74"/>
        <v>79757510.729301244</v>
      </c>
      <c r="H275" s="92">
        <f t="shared" si="74"/>
        <v>84729768.455276251</v>
      </c>
      <c r="I275" s="92">
        <f t="shared" si="74"/>
        <v>89702026.181251273</v>
      </c>
      <c r="J275" s="92">
        <f t="shared" si="74"/>
        <v>94674283.907226279</v>
      </c>
      <c r="K275" s="73"/>
      <c r="L275" s="73"/>
      <c r="M275" s="73"/>
      <c r="N275" s="73"/>
      <c r="O275" s="73"/>
      <c r="P275" s="73"/>
      <c r="Q275" s="73"/>
      <c r="R275" s="73"/>
      <c r="S275" s="73"/>
      <c r="T275" s="73"/>
      <c r="U275" s="73"/>
      <c r="V275" s="73"/>
      <c r="W275" s="73"/>
    </row>
    <row r="276" spans="1:23">
      <c r="A276" s="74"/>
      <c r="B276" s="74"/>
      <c r="C276" s="75"/>
      <c r="D276" s="75"/>
      <c r="E276" s="75"/>
      <c r="F276" s="75"/>
      <c r="G276" s="75"/>
      <c r="H276" s="75"/>
      <c r="I276" s="75"/>
      <c r="J276" s="75"/>
      <c r="K276" s="73"/>
      <c r="L276" s="73"/>
      <c r="M276" s="73"/>
      <c r="N276" s="73"/>
      <c r="O276" s="73"/>
      <c r="P276" s="73"/>
      <c r="Q276" s="73"/>
      <c r="R276" s="73"/>
      <c r="S276" s="73"/>
      <c r="T276" s="73"/>
      <c r="U276" s="73"/>
      <c r="V276" s="73"/>
      <c r="W276" s="73"/>
    </row>
    <row r="277" spans="1:23">
      <c r="A277" s="167" t="s">
        <v>7</v>
      </c>
      <c r="B277" s="167"/>
      <c r="C277" s="175"/>
      <c r="D277" s="92">
        <f t="shared" ref="D277:J277" si="75">D191-D275</f>
        <v>2940178.7754753903</v>
      </c>
      <c r="E277" s="92">
        <f t="shared" si="75"/>
        <v>3753734.6083917245</v>
      </c>
      <c r="F277" s="92">
        <f t="shared" si="75"/>
        <v>4283918.601457864</v>
      </c>
      <c r="G277" s="92">
        <f t="shared" si="75"/>
        <v>4414898.9175737798</v>
      </c>
      <c r="H277" s="92">
        <f t="shared" si="75"/>
        <v>4719908.2540987581</v>
      </c>
      <c r="I277" s="92">
        <f t="shared" si="75"/>
        <v>5024917.5906237364</v>
      </c>
      <c r="J277" s="92">
        <f t="shared" si="75"/>
        <v>5329926.9271487445</v>
      </c>
      <c r="K277" s="73"/>
      <c r="L277" s="73"/>
      <c r="M277" s="73"/>
      <c r="N277" s="73"/>
      <c r="O277" s="73"/>
      <c r="P277" s="73"/>
      <c r="Q277" s="73"/>
      <c r="R277" s="73"/>
      <c r="S277" s="73"/>
      <c r="T277" s="73"/>
      <c r="U277" s="73"/>
      <c r="V277" s="73"/>
      <c r="W277" s="73"/>
    </row>
    <row r="278" spans="1:23">
      <c r="A278" s="93"/>
      <c r="B278" s="93"/>
      <c r="C278" s="93"/>
      <c r="D278" s="73"/>
      <c r="E278" s="73"/>
      <c r="F278" s="73"/>
      <c r="G278" s="73"/>
      <c r="H278" s="73"/>
      <c r="I278" s="73"/>
      <c r="J278" s="73"/>
      <c r="K278" s="73"/>
      <c r="L278" s="73"/>
      <c r="M278" s="73"/>
      <c r="N278" s="73"/>
      <c r="O278" s="73"/>
      <c r="P278" s="73"/>
      <c r="Q278" s="73"/>
      <c r="R278" s="73"/>
      <c r="S278" s="73"/>
      <c r="T278" s="73"/>
      <c r="U278" s="73"/>
      <c r="V278" s="73"/>
      <c r="W278" s="73"/>
    </row>
    <row r="279" spans="1:23">
      <c r="A279" s="73"/>
      <c r="B279" s="73"/>
      <c r="C279" s="73"/>
      <c r="D279" s="73"/>
      <c r="E279" s="73"/>
      <c r="F279" s="73"/>
      <c r="G279" s="73"/>
      <c r="H279" s="73"/>
      <c r="I279" s="73"/>
      <c r="J279" s="73"/>
      <c r="K279" s="73"/>
      <c r="L279" s="73"/>
      <c r="M279" s="73"/>
      <c r="N279" s="73"/>
      <c r="O279" s="73"/>
      <c r="P279" s="73"/>
      <c r="Q279" s="73"/>
      <c r="R279" s="73"/>
      <c r="S279" s="73"/>
      <c r="T279" s="73"/>
      <c r="U279" s="73"/>
      <c r="V279" s="73"/>
      <c r="W279" s="73"/>
    </row>
    <row r="280" spans="1:23">
      <c r="A280" s="370" t="s">
        <v>418</v>
      </c>
      <c r="B280" s="370"/>
      <c r="C280" s="370"/>
      <c r="D280" s="370"/>
      <c r="E280" s="370"/>
      <c r="F280" s="370"/>
      <c r="G280" s="370"/>
      <c r="H280" s="370"/>
      <c r="I280" s="370"/>
      <c r="J280" s="370"/>
    </row>
    <row r="282" spans="1:23">
      <c r="A282" t="s">
        <v>537</v>
      </c>
    </row>
    <row r="283" spans="1:23">
      <c r="A283">
        <v>1</v>
      </c>
      <c r="B283" t="s">
        <v>550</v>
      </c>
    </row>
    <row r="284" spans="1:23">
      <c r="A284">
        <v>2</v>
      </c>
      <c r="B284" t="s">
        <v>551</v>
      </c>
    </row>
    <row r="285" spans="1:23">
      <c r="A285">
        <v>3</v>
      </c>
      <c r="B285" s="73" t="s">
        <v>601</v>
      </c>
    </row>
  </sheetData>
  <mergeCells count="3">
    <mergeCell ref="A122:J122"/>
    <mergeCell ref="A2:I2"/>
    <mergeCell ref="A280:J280"/>
  </mergeCells>
  <pageMargins left="0.7" right="0.7" top="0.75" bottom="0.75" header="0.3" footer="0.3"/>
  <pageSetup scale="53"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dimension ref="A3:J200"/>
  <sheetViews>
    <sheetView view="pageBreakPreview" topLeftCell="A163" zoomScale="80" zoomScaleSheetLayoutView="80" workbookViewId="0">
      <selection activeCell="J176" sqref="J176"/>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368" t="s">
        <v>596</v>
      </c>
      <c r="B3" s="368"/>
      <c r="C3" s="368"/>
      <c r="D3" s="368"/>
      <c r="E3" s="368"/>
      <c r="F3" s="368"/>
      <c r="G3" s="368"/>
      <c r="H3" s="368"/>
    </row>
    <row r="4" spans="1:8" ht="18.75">
      <c r="A4" s="368" t="s">
        <v>597</v>
      </c>
      <c r="B4" s="368"/>
      <c r="C4" s="368"/>
      <c r="D4" s="368"/>
      <c r="E4" s="368"/>
      <c r="F4" s="368"/>
      <c r="G4" s="368"/>
      <c r="H4" s="368"/>
    </row>
    <row r="5" spans="1:8">
      <c r="A5" s="73" t="s">
        <v>160</v>
      </c>
      <c r="B5" s="219">
        <v>1</v>
      </c>
      <c r="C5" s="73" t="s">
        <v>467</v>
      </c>
      <c r="D5" s="73"/>
      <c r="E5" s="73"/>
      <c r="F5" s="73"/>
      <c r="G5" s="73"/>
      <c r="H5" s="73"/>
    </row>
    <row r="6" spans="1:8">
      <c r="A6" s="73" t="s">
        <v>161</v>
      </c>
      <c r="B6" s="248">
        <v>8</v>
      </c>
      <c r="C6" s="73"/>
      <c r="D6" s="73"/>
      <c r="E6" s="73"/>
      <c r="F6" s="73"/>
      <c r="G6" s="73"/>
      <c r="H6" s="73"/>
    </row>
    <row r="7" spans="1:8">
      <c r="A7" s="73"/>
      <c r="B7" s="248"/>
      <c r="C7" s="73"/>
      <c r="D7" s="73"/>
      <c r="E7" s="73"/>
      <c r="F7" s="73"/>
      <c r="G7" s="73"/>
      <c r="H7" s="73"/>
    </row>
    <row r="8" spans="1:8">
      <c r="A8" s="73"/>
      <c r="B8" s="248"/>
      <c r="C8" s="73"/>
      <c r="D8" s="73"/>
      <c r="E8" s="73"/>
      <c r="F8" s="73"/>
      <c r="G8" s="73"/>
      <c r="H8" s="73"/>
    </row>
    <row r="9" spans="1:8">
      <c r="A9" s="73"/>
      <c r="B9" s="73"/>
      <c r="C9" s="73"/>
      <c r="D9" s="73"/>
      <c r="E9" s="73"/>
      <c r="F9" s="73"/>
      <c r="G9" s="73"/>
      <c r="H9" s="73"/>
    </row>
    <row r="10" spans="1:8">
      <c r="A10" s="73"/>
      <c r="B10" s="73"/>
      <c r="C10" s="73"/>
      <c r="D10" s="73"/>
      <c r="E10" s="73"/>
      <c r="F10" s="73"/>
      <c r="G10" s="73"/>
      <c r="H10" s="73"/>
    </row>
    <row r="11" spans="1:8">
      <c r="A11" s="65" t="s">
        <v>0</v>
      </c>
      <c r="B11" s="66" t="s">
        <v>2</v>
      </c>
      <c r="C11" s="66" t="s">
        <v>3</v>
      </c>
      <c r="D11" s="66" t="s">
        <v>4</v>
      </c>
      <c r="E11" s="66" t="s">
        <v>5</v>
      </c>
      <c r="F11" s="66" t="s">
        <v>6</v>
      </c>
      <c r="G11" s="66" t="s">
        <v>168</v>
      </c>
      <c r="H11" s="66" t="s">
        <v>167</v>
      </c>
    </row>
    <row r="12" spans="1:8">
      <c r="A12" s="74" t="s">
        <v>169</v>
      </c>
      <c r="B12" s="273">
        <f t="shared" ref="B12:H12" si="0">B39/($B$5*$B$6)</f>
        <v>0</v>
      </c>
      <c r="C12" s="273">
        <f t="shared" si="0"/>
        <v>0</v>
      </c>
      <c r="D12" s="273">
        <f t="shared" si="0"/>
        <v>0</v>
      </c>
      <c r="E12" s="273">
        <f t="shared" si="0"/>
        <v>0</v>
      </c>
      <c r="F12" s="273">
        <f t="shared" si="0"/>
        <v>0</v>
      </c>
      <c r="G12" s="273">
        <f t="shared" si="0"/>
        <v>0</v>
      </c>
      <c r="H12" s="273">
        <f t="shared" si="0"/>
        <v>0</v>
      </c>
    </row>
    <row r="13" spans="1:8">
      <c r="A13" s="74" t="str">
        <f>'11.F&amp;V Crop Production details'!A74</f>
        <v>Onion</v>
      </c>
      <c r="B13" s="74">
        <f>'11.F&amp;V Crop Production details'!B74</f>
        <v>0</v>
      </c>
      <c r="C13" s="74">
        <f>'11.F&amp;V Crop Production details'!C74</f>
        <v>0</v>
      </c>
      <c r="D13" s="74">
        <f>'11.F&amp;V Crop Production details'!D74</f>
        <v>0</v>
      </c>
      <c r="E13" s="74">
        <f>'11.F&amp;V Crop Production details'!E74</f>
        <v>0</v>
      </c>
      <c r="F13" s="74">
        <f>'11.F&amp;V Crop Production details'!F74</f>
        <v>0</v>
      </c>
      <c r="G13" s="74">
        <f>'11.F&amp;V Crop Production details'!G74</f>
        <v>0</v>
      </c>
      <c r="H13" s="74">
        <f>'11.F&amp;V Crop Production details'!H74</f>
        <v>0</v>
      </c>
    </row>
    <row r="14" spans="1:8">
      <c r="A14" s="74" t="str">
        <f>'11.F&amp;V Crop Production details'!A75</f>
        <v>Tomato</v>
      </c>
      <c r="B14" s="74">
        <f>'11.F&amp;V Crop Production details'!B75</f>
        <v>0</v>
      </c>
      <c r="C14" s="74">
        <f>'11.F&amp;V Crop Production details'!C75</f>
        <v>0</v>
      </c>
      <c r="D14" s="74">
        <f>'11.F&amp;V Crop Production details'!D75</f>
        <v>0</v>
      </c>
      <c r="E14" s="74">
        <f>'11.F&amp;V Crop Production details'!E75</f>
        <v>0</v>
      </c>
      <c r="F14" s="74">
        <f>'11.F&amp;V Crop Production details'!F75</f>
        <v>0</v>
      </c>
      <c r="G14" s="74">
        <f>'11.F&amp;V Crop Production details'!G75</f>
        <v>0</v>
      </c>
      <c r="H14" s="74">
        <f>'11.F&amp;V Crop Production details'!H75</f>
        <v>0</v>
      </c>
    </row>
    <row r="15" spans="1:8">
      <c r="A15" s="74" t="str">
        <f>'11.F&amp;V Crop Production details'!A76</f>
        <v>Okra</v>
      </c>
      <c r="B15" s="74">
        <f>'11.F&amp;V Crop Production details'!B76</f>
        <v>0</v>
      </c>
      <c r="C15" s="74">
        <f>'11.F&amp;V Crop Production details'!C76</f>
        <v>0</v>
      </c>
      <c r="D15" s="74">
        <f>'11.F&amp;V Crop Production details'!D76</f>
        <v>0</v>
      </c>
      <c r="E15" s="74">
        <f>'11.F&amp;V Crop Production details'!E76</f>
        <v>0</v>
      </c>
      <c r="F15" s="74">
        <f>'11.F&amp;V Crop Production details'!F76</f>
        <v>0</v>
      </c>
      <c r="G15" s="74">
        <f>'11.F&amp;V Crop Production details'!G76</f>
        <v>0</v>
      </c>
      <c r="H15" s="74">
        <f>'11.F&amp;V Crop Production details'!H76</f>
        <v>0</v>
      </c>
    </row>
    <row r="16" spans="1:8">
      <c r="A16" s="74" t="str">
        <f>'11.F&amp;V Crop Production details'!A77</f>
        <v>Chilli</v>
      </c>
      <c r="B16" s="74">
        <f>'11.F&amp;V Crop Production details'!B77</f>
        <v>0</v>
      </c>
      <c r="C16" s="74">
        <f>'11.F&amp;V Crop Production details'!C77</f>
        <v>0</v>
      </c>
      <c r="D16" s="74">
        <f>'11.F&amp;V Crop Production details'!D77</f>
        <v>0</v>
      </c>
      <c r="E16" s="74">
        <f>'11.F&amp;V Crop Production details'!E77</f>
        <v>0</v>
      </c>
      <c r="F16" s="74">
        <f>'11.F&amp;V Crop Production details'!F77</f>
        <v>0</v>
      </c>
      <c r="G16" s="74">
        <f>'11.F&amp;V Crop Production details'!G77</f>
        <v>0</v>
      </c>
      <c r="H16" s="74">
        <f>'11.F&amp;V Crop Production details'!H77</f>
        <v>0</v>
      </c>
    </row>
    <row r="17" spans="1:8">
      <c r="A17" s="74" t="str">
        <f>'11.F&amp;V Crop Production details'!A78</f>
        <v>Potato</v>
      </c>
      <c r="B17" s="74">
        <f>'11.F&amp;V Crop Production details'!B78</f>
        <v>0</v>
      </c>
      <c r="C17" s="74">
        <f>'11.F&amp;V Crop Production details'!C78</f>
        <v>0</v>
      </c>
      <c r="D17" s="74">
        <f>'11.F&amp;V Crop Production details'!D78</f>
        <v>0</v>
      </c>
      <c r="E17" s="74">
        <f>'11.F&amp;V Crop Production details'!E78</f>
        <v>0</v>
      </c>
      <c r="F17" s="74">
        <f>'11.F&amp;V Crop Production details'!F78</f>
        <v>0</v>
      </c>
      <c r="G17" s="74">
        <f>'11.F&amp;V Crop Production details'!G78</f>
        <v>0</v>
      </c>
      <c r="H17" s="74">
        <f>'11.F&amp;V Crop Production details'!H78</f>
        <v>0</v>
      </c>
    </row>
    <row r="18" spans="1:8">
      <c r="A18" s="74">
        <f>'11.F&amp;V Crop Production details'!A79</f>
        <v>0</v>
      </c>
      <c r="B18" s="74">
        <f>'11.F&amp;V Crop Production details'!B79</f>
        <v>0</v>
      </c>
      <c r="C18" s="74">
        <f>'11.F&amp;V Crop Production details'!C79</f>
        <v>0</v>
      </c>
      <c r="D18" s="74">
        <f>'11.F&amp;V Crop Production details'!D79</f>
        <v>0</v>
      </c>
      <c r="E18" s="74">
        <f>'11.F&amp;V Crop Production details'!E79</f>
        <v>0</v>
      </c>
      <c r="F18" s="74">
        <f>'11.F&amp;V Crop Production details'!F79</f>
        <v>0</v>
      </c>
      <c r="G18" s="74">
        <f>'11.F&amp;V Crop Production details'!G79</f>
        <v>0</v>
      </c>
      <c r="H18" s="74">
        <f>'11.F&amp;V Crop Production details'!H79</f>
        <v>0</v>
      </c>
    </row>
    <row r="19" spans="1:8">
      <c r="A19" s="74">
        <f>'11.F&amp;V Crop Production details'!A80</f>
        <v>0</v>
      </c>
      <c r="B19" s="74">
        <f>'11.F&amp;V Crop Production details'!B80</f>
        <v>0</v>
      </c>
      <c r="C19" s="74">
        <f>'11.F&amp;V Crop Production details'!C80</f>
        <v>0</v>
      </c>
      <c r="D19" s="74">
        <f>'11.F&amp;V Crop Production details'!D80</f>
        <v>0</v>
      </c>
      <c r="E19" s="74">
        <f>'11.F&amp;V Crop Production details'!E80</f>
        <v>0</v>
      </c>
      <c r="F19" s="74">
        <f>'11.F&amp;V Crop Production details'!F80</f>
        <v>0</v>
      </c>
      <c r="G19" s="74">
        <f>'11.F&amp;V Crop Production details'!G80</f>
        <v>0</v>
      </c>
      <c r="H19" s="74">
        <f>'11.F&amp;V Crop Production details'!H80</f>
        <v>0</v>
      </c>
    </row>
    <row r="20" spans="1:8">
      <c r="A20" s="74">
        <f>'11.F&amp;V Crop Production details'!A81</f>
        <v>0</v>
      </c>
      <c r="B20" s="74">
        <f>'11.F&amp;V Crop Production details'!B81</f>
        <v>0</v>
      </c>
      <c r="C20" s="74">
        <f>'11.F&amp;V Crop Production details'!C81</f>
        <v>0</v>
      </c>
      <c r="D20" s="74">
        <f>'11.F&amp;V Crop Production details'!D81</f>
        <v>0</v>
      </c>
      <c r="E20" s="74">
        <f>'11.F&amp;V Crop Production details'!E81</f>
        <v>0</v>
      </c>
      <c r="F20" s="74">
        <f>'11.F&amp;V Crop Production details'!F81</f>
        <v>0</v>
      </c>
      <c r="G20" s="74">
        <f>'11.F&amp;V Crop Production details'!G81</f>
        <v>0</v>
      </c>
      <c r="H20" s="74">
        <f>'11.F&amp;V Crop Production details'!H81</f>
        <v>0</v>
      </c>
    </row>
    <row r="21" spans="1:8">
      <c r="A21" s="74">
        <f>'11.F&amp;V Crop Production details'!A82</f>
        <v>0</v>
      </c>
      <c r="B21" s="74">
        <f>'11.F&amp;V Crop Production details'!B82</f>
        <v>0</v>
      </c>
      <c r="C21" s="74">
        <f>'11.F&amp;V Crop Production details'!C82</f>
        <v>0</v>
      </c>
      <c r="D21" s="74">
        <f>'11.F&amp;V Crop Production details'!D82</f>
        <v>0</v>
      </c>
      <c r="E21" s="74">
        <f>'11.F&amp;V Crop Production details'!E82</f>
        <v>0</v>
      </c>
      <c r="F21" s="74">
        <f>'11.F&amp;V Crop Production details'!F82</f>
        <v>0</v>
      </c>
      <c r="G21" s="74">
        <f>'11.F&amp;V Crop Production details'!G82</f>
        <v>0</v>
      </c>
      <c r="H21" s="74">
        <f>'11.F&amp;V Crop Production details'!H82</f>
        <v>0</v>
      </c>
    </row>
    <row r="22" spans="1:8">
      <c r="A22" s="74" t="str">
        <f>'11.F&amp;V Crop Production details'!A83</f>
        <v>Onion</v>
      </c>
      <c r="B22" s="74">
        <f>'11.F&amp;V Crop Production details'!B83</f>
        <v>0</v>
      </c>
      <c r="C22" s="74">
        <f>'11.F&amp;V Crop Production details'!C83</f>
        <v>0</v>
      </c>
      <c r="D22" s="74">
        <f>'11.F&amp;V Crop Production details'!D83</f>
        <v>0</v>
      </c>
      <c r="E22" s="74">
        <f>'11.F&amp;V Crop Production details'!E83</f>
        <v>0</v>
      </c>
      <c r="F22" s="74">
        <f>'11.F&amp;V Crop Production details'!F83</f>
        <v>0</v>
      </c>
      <c r="G22" s="74">
        <f>'11.F&amp;V Crop Production details'!G83</f>
        <v>0</v>
      </c>
      <c r="H22" s="74">
        <f>'11.F&amp;V Crop Production details'!H83</f>
        <v>0</v>
      </c>
    </row>
    <row r="23" spans="1:8">
      <c r="A23" s="74" t="str">
        <f>'11.F&amp;V Crop Production details'!A84</f>
        <v>Tomato</v>
      </c>
      <c r="B23" s="74">
        <f>'11.F&amp;V Crop Production details'!B84</f>
        <v>0</v>
      </c>
      <c r="C23" s="74">
        <f>'11.F&amp;V Crop Production details'!C84</f>
        <v>0</v>
      </c>
      <c r="D23" s="74">
        <f>'11.F&amp;V Crop Production details'!D84</f>
        <v>0</v>
      </c>
      <c r="E23" s="74">
        <f>'11.F&amp;V Crop Production details'!E84</f>
        <v>0</v>
      </c>
      <c r="F23" s="74">
        <f>'11.F&amp;V Crop Production details'!F84</f>
        <v>0</v>
      </c>
      <c r="G23" s="74">
        <f>'11.F&amp;V Crop Production details'!G84</f>
        <v>0</v>
      </c>
      <c r="H23" s="74">
        <f>'11.F&amp;V Crop Production details'!H84</f>
        <v>0</v>
      </c>
    </row>
    <row r="24" spans="1:8">
      <c r="A24" s="74" t="str">
        <f>'11.F&amp;V Crop Production details'!A85</f>
        <v>Okra</v>
      </c>
      <c r="B24" s="74">
        <f>'11.F&amp;V Crop Production details'!B85</f>
        <v>0</v>
      </c>
      <c r="C24" s="74">
        <f>'11.F&amp;V Crop Production details'!C85</f>
        <v>0</v>
      </c>
      <c r="D24" s="74">
        <f>'11.F&amp;V Crop Production details'!D85</f>
        <v>0</v>
      </c>
      <c r="E24" s="74">
        <f>'11.F&amp;V Crop Production details'!E85</f>
        <v>0</v>
      </c>
      <c r="F24" s="74">
        <f>'11.F&amp;V Crop Production details'!F85</f>
        <v>0</v>
      </c>
      <c r="G24" s="74">
        <f>'11.F&amp;V Crop Production details'!G85</f>
        <v>0</v>
      </c>
      <c r="H24" s="74">
        <f>'11.F&amp;V Crop Production details'!H85</f>
        <v>0</v>
      </c>
    </row>
    <row r="25" spans="1:8">
      <c r="A25" s="74" t="str">
        <f>'11.F&amp;V Crop Production details'!A86</f>
        <v>Chilli</v>
      </c>
      <c r="B25" s="74">
        <f>'11.F&amp;V Crop Production details'!B86</f>
        <v>0</v>
      </c>
      <c r="C25" s="74">
        <f>'11.F&amp;V Crop Production details'!C86</f>
        <v>0</v>
      </c>
      <c r="D25" s="74">
        <f>'11.F&amp;V Crop Production details'!D86</f>
        <v>0</v>
      </c>
      <c r="E25" s="74">
        <f>'11.F&amp;V Crop Production details'!E86</f>
        <v>0</v>
      </c>
      <c r="F25" s="74">
        <f>'11.F&amp;V Crop Production details'!F86</f>
        <v>0</v>
      </c>
      <c r="G25" s="74">
        <f>'11.F&amp;V Crop Production details'!G86</f>
        <v>0</v>
      </c>
      <c r="H25" s="74">
        <f>'11.F&amp;V Crop Production details'!H86</f>
        <v>0</v>
      </c>
    </row>
    <row r="26" spans="1:8">
      <c r="A26" s="74" t="str">
        <f>'11.F&amp;V Crop Production details'!A87</f>
        <v>Brinjal</v>
      </c>
      <c r="B26" s="74">
        <f>'11.F&amp;V Crop Production details'!B87</f>
        <v>0</v>
      </c>
      <c r="C26" s="74">
        <f>'11.F&amp;V Crop Production details'!C87</f>
        <v>0</v>
      </c>
      <c r="D26" s="74">
        <f>'11.F&amp;V Crop Production details'!D87</f>
        <v>0</v>
      </c>
      <c r="E26" s="74">
        <f>'11.F&amp;V Crop Production details'!E87</f>
        <v>0</v>
      </c>
      <c r="F26" s="74">
        <f>'11.F&amp;V Crop Production details'!F87</f>
        <v>0</v>
      </c>
      <c r="G26" s="74">
        <f>'11.F&amp;V Crop Production details'!G87</f>
        <v>0</v>
      </c>
      <c r="H26" s="74">
        <f>'11.F&amp;V Crop Production details'!H87</f>
        <v>0</v>
      </c>
    </row>
    <row r="27" spans="1:8">
      <c r="A27" s="74">
        <f>'11.F&amp;V Crop Production details'!A88</f>
        <v>0</v>
      </c>
      <c r="B27" s="74">
        <f>'11.F&amp;V Crop Production details'!B88</f>
        <v>0</v>
      </c>
      <c r="C27" s="74">
        <f>'11.F&amp;V Crop Production details'!C88</f>
        <v>0</v>
      </c>
      <c r="D27" s="74">
        <f>'11.F&amp;V Crop Production details'!D88</f>
        <v>0</v>
      </c>
      <c r="E27" s="74">
        <f>'11.F&amp;V Crop Production details'!E88</f>
        <v>0</v>
      </c>
      <c r="F27" s="74">
        <f>'11.F&amp;V Crop Production details'!F88</f>
        <v>0</v>
      </c>
      <c r="G27" s="74">
        <f>'11.F&amp;V Crop Production details'!G88</f>
        <v>0</v>
      </c>
      <c r="H27" s="74">
        <f>'11.F&amp;V Crop Production details'!H88</f>
        <v>0</v>
      </c>
    </row>
    <row r="28" spans="1:8">
      <c r="A28" s="74">
        <f>'11.F&amp;V Crop Production details'!A89</f>
        <v>0</v>
      </c>
      <c r="B28" s="74">
        <f>'11.F&amp;V Crop Production details'!B89</f>
        <v>0</v>
      </c>
      <c r="C28" s="74">
        <f>'11.F&amp;V Crop Production details'!C89</f>
        <v>0</v>
      </c>
      <c r="D28" s="74">
        <f>'11.F&amp;V Crop Production details'!D89</f>
        <v>0</v>
      </c>
      <c r="E28" s="74">
        <f>'11.F&amp;V Crop Production details'!E89</f>
        <v>0</v>
      </c>
      <c r="F28" s="74">
        <f>'11.F&amp;V Crop Production details'!F89</f>
        <v>0</v>
      </c>
      <c r="G28" s="74">
        <f>'11.F&amp;V Crop Production details'!G89</f>
        <v>0</v>
      </c>
      <c r="H28" s="74">
        <f>'11.F&amp;V Crop Production details'!H89</f>
        <v>0</v>
      </c>
    </row>
    <row r="29" spans="1:8">
      <c r="A29" s="74">
        <f>'11.F&amp;V Crop Production details'!A90</f>
        <v>0</v>
      </c>
      <c r="B29" s="74">
        <f>'11.F&amp;V Crop Production details'!B90</f>
        <v>0</v>
      </c>
      <c r="C29" s="74">
        <f>'11.F&amp;V Crop Production details'!C90</f>
        <v>0</v>
      </c>
      <c r="D29" s="74">
        <f>'11.F&amp;V Crop Production details'!D90</f>
        <v>0</v>
      </c>
      <c r="E29" s="74">
        <f>'11.F&amp;V Crop Production details'!E90</f>
        <v>0</v>
      </c>
      <c r="F29" s="74">
        <f>'11.F&amp;V Crop Production details'!F90</f>
        <v>0</v>
      </c>
      <c r="G29" s="74">
        <f>'11.F&amp;V Crop Production details'!G90</f>
        <v>0</v>
      </c>
      <c r="H29" s="74">
        <f>'11.F&amp;V Crop Production details'!H90</f>
        <v>0</v>
      </c>
    </row>
    <row r="30" spans="1:8">
      <c r="A30" s="74">
        <f>'11.F&amp;V Crop Production details'!A91</f>
        <v>0</v>
      </c>
      <c r="B30" s="74">
        <f>'11.F&amp;V Crop Production details'!B91</f>
        <v>0</v>
      </c>
      <c r="C30" s="74">
        <f>'11.F&amp;V Crop Production details'!C91</f>
        <v>0</v>
      </c>
      <c r="D30" s="74">
        <f>'11.F&amp;V Crop Production details'!D91</f>
        <v>0</v>
      </c>
      <c r="E30" s="74">
        <f>'11.F&amp;V Crop Production details'!E91</f>
        <v>0</v>
      </c>
      <c r="F30" s="74">
        <f>'11.F&amp;V Crop Production details'!F91</f>
        <v>0</v>
      </c>
      <c r="G30" s="74">
        <f>'11.F&amp;V Crop Production details'!G91</f>
        <v>0</v>
      </c>
      <c r="H30" s="74">
        <f>'11.F&amp;V Crop Production details'!H91</f>
        <v>0</v>
      </c>
    </row>
    <row r="31" spans="1:8">
      <c r="A31" s="74">
        <f>'11.F&amp;V Crop Production details'!A92</f>
        <v>0</v>
      </c>
      <c r="B31" s="74">
        <f>'11.F&amp;V Crop Production details'!B92</f>
        <v>0</v>
      </c>
      <c r="C31" s="74">
        <f>'11.F&amp;V Crop Production details'!C92</f>
        <v>0</v>
      </c>
      <c r="D31" s="74">
        <f>'11.F&amp;V Crop Production details'!D92</f>
        <v>0</v>
      </c>
      <c r="E31" s="74">
        <f>'11.F&amp;V Crop Production details'!E92</f>
        <v>0</v>
      </c>
      <c r="F31" s="74">
        <f>'11.F&amp;V Crop Production details'!F92</f>
        <v>0</v>
      </c>
      <c r="G31" s="74">
        <f>'11.F&amp;V Crop Production details'!G92</f>
        <v>0</v>
      </c>
      <c r="H31" s="74">
        <f>'11.F&amp;V Crop Production details'!H92</f>
        <v>0</v>
      </c>
    </row>
    <row r="32" spans="1:8">
      <c r="A32" s="74">
        <f>'11.F&amp;V Crop Production details'!A93</f>
        <v>0</v>
      </c>
      <c r="B32" s="74">
        <f>'11.F&amp;V Crop Production details'!B93</f>
        <v>0</v>
      </c>
      <c r="C32" s="74">
        <f>'11.F&amp;V Crop Production details'!C93</f>
        <v>0</v>
      </c>
      <c r="D32" s="74">
        <f>'11.F&amp;V Crop Production details'!D93</f>
        <v>0</v>
      </c>
      <c r="E32" s="74">
        <f>'11.F&amp;V Crop Production details'!E93</f>
        <v>0</v>
      </c>
      <c r="F32" s="74">
        <f>'11.F&amp;V Crop Production details'!F93</f>
        <v>0</v>
      </c>
      <c r="G32" s="74">
        <f>'11.F&amp;V Crop Production details'!G93</f>
        <v>0</v>
      </c>
      <c r="H32" s="74">
        <f>'11.F&amp;V Crop Production details'!H93</f>
        <v>0</v>
      </c>
    </row>
    <row r="33" spans="1:8">
      <c r="A33" s="74">
        <f>'11.F&amp;V Crop Production details'!A94</f>
        <v>0</v>
      </c>
      <c r="B33" s="74">
        <f>'11.F&amp;V Crop Production details'!B94</f>
        <v>0</v>
      </c>
      <c r="C33" s="74">
        <f>'11.F&amp;V Crop Production details'!C94</f>
        <v>0</v>
      </c>
      <c r="D33" s="74">
        <f>'11.F&amp;V Crop Production details'!D94</f>
        <v>0</v>
      </c>
      <c r="E33" s="74">
        <f>'11.F&amp;V Crop Production details'!E94</f>
        <v>0</v>
      </c>
      <c r="F33" s="74">
        <f>'11.F&amp;V Crop Production details'!F94</f>
        <v>0</v>
      </c>
      <c r="G33" s="74">
        <f>'11.F&amp;V Crop Production details'!G94</f>
        <v>0</v>
      </c>
      <c r="H33" s="74">
        <f>'11.F&amp;V Crop Production details'!H94</f>
        <v>0</v>
      </c>
    </row>
    <row r="34" spans="1:8">
      <c r="A34" s="74" t="str">
        <f>'11.F&amp;V Crop Production details'!A95</f>
        <v>Pomegranate</v>
      </c>
      <c r="B34" s="74">
        <f>'11.F&amp;V Crop Production details'!B95</f>
        <v>0</v>
      </c>
      <c r="C34" s="74">
        <f>'11.F&amp;V Crop Production details'!C95</f>
        <v>0</v>
      </c>
      <c r="D34" s="74">
        <f>'11.F&amp;V Crop Production details'!D95</f>
        <v>0</v>
      </c>
      <c r="E34" s="74">
        <f>'11.F&amp;V Crop Production details'!E95</f>
        <v>0</v>
      </c>
      <c r="F34" s="74">
        <f>'11.F&amp;V Crop Production details'!F95</f>
        <v>0</v>
      </c>
      <c r="G34" s="74">
        <f>'11.F&amp;V Crop Production details'!G95</f>
        <v>0</v>
      </c>
      <c r="H34" s="74">
        <f>'11.F&amp;V Crop Production details'!H95</f>
        <v>0</v>
      </c>
    </row>
    <row r="35" spans="1:8">
      <c r="A35" s="74" t="str">
        <f>'11.F&amp;V Crop Production details'!A96</f>
        <v>Custard Apple</v>
      </c>
      <c r="B35" s="74">
        <f>'11.F&amp;V Crop Production details'!B96</f>
        <v>0</v>
      </c>
      <c r="C35" s="74">
        <f>'11.F&amp;V Crop Production details'!C96</f>
        <v>0</v>
      </c>
      <c r="D35" s="74">
        <f>'11.F&amp;V Crop Production details'!D96</f>
        <v>0</v>
      </c>
      <c r="E35" s="74">
        <f>'11.F&amp;V Crop Production details'!E96</f>
        <v>0</v>
      </c>
      <c r="F35" s="74">
        <f>'11.F&amp;V Crop Production details'!F96</f>
        <v>0</v>
      </c>
      <c r="G35" s="74">
        <f>'11.F&amp;V Crop Production details'!G96</f>
        <v>0</v>
      </c>
      <c r="H35" s="74">
        <f>'11.F&amp;V Crop Production details'!H96</f>
        <v>0</v>
      </c>
    </row>
    <row r="36" spans="1:8">
      <c r="A36" s="74" t="str">
        <f>'11.F&amp;V Crop Production details'!A97</f>
        <v>Guava</v>
      </c>
      <c r="B36" s="74">
        <f>'11.F&amp;V Crop Production details'!B97</f>
        <v>0</v>
      </c>
      <c r="C36" s="74">
        <f>'11.F&amp;V Crop Production details'!C97</f>
        <v>0</v>
      </c>
      <c r="D36" s="74">
        <f>'11.F&amp;V Crop Production details'!D97</f>
        <v>0</v>
      </c>
      <c r="E36" s="74">
        <f>'11.F&amp;V Crop Production details'!E97</f>
        <v>0</v>
      </c>
      <c r="F36" s="74">
        <f>'11.F&amp;V Crop Production details'!F97</f>
        <v>0</v>
      </c>
      <c r="G36" s="74">
        <f>'11.F&amp;V Crop Production details'!G97</f>
        <v>0</v>
      </c>
      <c r="H36" s="74">
        <f>'11.F&amp;V Crop Production details'!H97</f>
        <v>0</v>
      </c>
    </row>
    <row r="37" spans="1:8">
      <c r="A37" s="74" t="str">
        <f>'11.F&amp;V Crop Production details'!A98</f>
        <v>Citrus</v>
      </c>
      <c r="B37" s="74">
        <f>'11.F&amp;V Crop Production details'!B98</f>
        <v>0</v>
      </c>
      <c r="C37" s="74">
        <f>'11.F&amp;V Crop Production details'!C98</f>
        <v>0</v>
      </c>
      <c r="D37" s="74">
        <f>'11.F&amp;V Crop Production details'!D98</f>
        <v>0</v>
      </c>
      <c r="E37" s="74">
        <f>'11.F&amp;V Crop Production details'!E98</f>
        <v>0</v>
      </c>
      <c r="F37" s="74">
        <f>'11.F&amp;V Crop Production details'!F98</f>
        <v>0</v>
      </c>
      <c r="G37" s="74">
        <f>'11.F&amp;V Crop Production details'!G98</f>
        <v>0</v>
      </c>
      <c r="H37" s="74">
        <f>'11.F&amp;V Crop Production details'!H98</f>
        <v>0</v>
      </c>
    </row>
    <row r="38" spans="1:8">
      <c r="A38" s="74"/>
      <c r="B38" s="74"/>
      <c r="C38" s="74"/>
      <c r="D38" s="74"/>
      <c r="E38" s="74"/>
      <c r="F38" s="74"/>
      <c r="G38" s="74"/>
      <c r="H38" s="74"/>
    </row>
    <row r="39" spans="1:8">
      <c r="A39" s="74" t="s">
        <v>458</v>
      </c>
      <c r="B39" s="74">
        <f>SUM(B13:B37)</f>
        <v>0</v>
      </c>
      <c r="C39" s="74">
        <f t="shared" ref="C39:H39" si="1">SUM(C13:C37)</f>
        <v>0</v>
      </c>
      <c r="D39" s="74">
        <f t="shared" si="1"/>
        <v>0</v>
      </c>
      <c r="E39" s="74">
        <f t="shared" si="1"/>
        <v>0</v>
      </c>
      <c r="F39" s="74">
        <f t="shared" si="1"/>
        <v>0</v>
      </c>
      <c r="G39" s="74">
        <f t="shared" si="1"/>
        <v>0</v>
      </c>
      <c r="H39" s="74">
        <f t="shared" si="1"/>
        <v>0</v>
      </c>
    </row>
    <row r="40" spans="1:8">
      <c r="A40" s="278" t="s">
        <v>164</v>
      </c>
      <c r="B40" s="249">
        <v>0</v>
      </c>
      <c r="C40" s="249">
        <f>B40</f>
        <v>0</v>
      </c>
      <c r="D40" s="249">
        <f t="shared" ref="D40:H40" si="2">C40</f>
        <v>0</v>
      </c>
      <c r="E40" s="249">
        <f t="shared" si="2"/>
        <v>0</v>
      </c>
      <c r="F40" s="249">
        <f t="shared" si="2"/>
        <v>0</v>
      </c>
      <c r="G40" s="249">
        <f t="shared" si="2"/>
        <v>0</v>
      </c>
      <c r="H40" s="249">
        <f t="shared" si="2"/>
        <v>0</v>
      </c>
    </row>
    <row r="41" spans="1:8">
      <c r="A41" s="74" t="s">
        <v>468</v>
      </c>
      <c r="B41" s="161">
        <f>1-B40</f>
        <v>1</v>
      </c>
      <c r="C41" s="161">
        <f t="shared" ref="C41:H41" si="3">1-C40</f>
        <v>1</v>
      </c>
      <c r="D41" s="161">
        <f t="shared" si="3"/>
        <v>1</v>
      </c>
      <c r="E41" s="161">
        <f t="shared" si="3"/>
        <v>1</v>
      </c>
      <c r="F41" s="161">
        <f t="shared" si="3"/>
        <v>1</v>
      </c>
      <c r="G41" s="161">
        <f t="shared" si="3"/>
        <v>1</v>
      </c>
      <c r="H41" s="161">
        <f t="shared" si="3"/>
        <v>1</v>
      </c>
    </row>
    <row r="42" spans="1:8">
      <c r="A42" s="76" t="s">
        <v>164</v>
      </c>
      <c r="B42" s="230">
        <f>B39*B40</f>
        <v>0</v>
      </c>
      <c r="C42" s="230">
        <f t="shared" ref="C42:H42" si="4">C39*C40</f>
        <v>0</v>
      </c>
      <c r="D42" s="230">
        <f t="shared" si="4"/>
        <v>0</v>
      </c>
      <c r="E42" s="230">
        <f t="shared" si="4"/>
        <v>0</v>
      </c>
      <c r="F42" s="230">
        <f t="shared" si="4"/>
        <v>0</v>
      </c>
      <c r="G42" s="230">
        <f t="shared" si="4"/>
        <v>0</v>
      </c>
      <c r="H42" s="230">
        <f t="shared" si="4"/>
        <v>0</v>
      </c>
    </row>
    <row r="43" spans="1:8">
      <c r="A43" s="76" t="s">
        <v>165</v>
      </c>
      <c r="B43" s="92"/>
      <c r="C43" s="92"/>
      <c r="D43" s="92"/>
      <c r="E43" s="92"/>
      <c r="F43" s="92"/>
      <c r="G43" s="92"/>
      <c r="H43" s="92"/>
    </row>
    <row r="44" spans="1:8">
      <c r="A44" s="74" t="str">
        <f t="shared" ref="A44:A61" si="5">A13</f>
        <v>Onion</v>
      </c>
      <c r="B44" s="75">
        <f t="shared" ref="B44:B61" si="6">B13*$B$41</f>
        <v>0</v>
      </c>
      <c r="C44" s="75">
        <f t="shared" ref="C44:C61" si="7">C13*$C$41</f>
        <v>0</v>
      </c>
      <c r="D44" s="75">
        <f t="shared" ref="D44:D61" si="8">D13*$D$41</f>
        <v>0</v>
      </c>
      <c r="E44" s="75">
        <f t="shared" ref="E44:E61" si="9">E13*$E$41</f>
        <v>0</v>
      </c>
      <c r="F44" s="75">
        <f t="shared" ref="F44:F61" si="10">F13*$F$41</f>
        <v>0</v>
      </c>
      <c r="G44" s="75">
        <f t="shared" ref="G44:G61" si="11">G13*$G$41</f>
        <v>0</v>
      </c>
      <c r="H44" s="75">
        <f t="shared" ref="H44:H61" si="12">H13*$H$41</f>
        <v>0</v>
      </c>
    </row>
    <row r="45" spans="1:8">
      <c r="A45" s="74" t="str">
        <f t="shared" si="5"/>
        <v>Tomato</v>
      </c>
      <c r="B45" s="75">
        <f t="shared" si="6"/>
        <v>0</v>
      </c>
      <c r="C45" s="75">
        <f t="shared" si="7"/>
        <v>0</v>
      </c>
      <c r="D45" s="75">
        <f t="shared" si="8"/>
        <v>0</v>
      </c>
      <c r="E45" s="75">
        <f t="shared" si="9"/>
        <v>0</v>
      </c>
      <c r="F45" s="75">
        <f t="shared" si="10"/>
        <v>0</v>
      </c>
      <c r="G45" s="75">
        <f t="shared" si="11"/>
        <v>0</v>
      </c>
      <c r="H45" s="75">
        <f t="shared" si="12"/>
        <v>0</v>
      </c>
    </row>
    <row r="46" spans="1:8">
      <c r="A46" s="74" t="str">
        <f t="shared" si="5"/>
        <v>Okra</v>
      </c>
      <c r="B46" s="75">
        <f t="shared" si="6"/>
        <v>0</v>
      </c>
      <c r="C46" s="75">
        <f t="shared" si="7"/>
        <v>0</v>
      </c>
      <c r="D46" s="75">
        <f t="shared" si="8"/>
        <v>0</v>
      </c>
      <c r="E46" s="75">
        <f t="shared" si="9"/>
        <v>0</v>
      </c>
      <c r="F46" s="75">
        <f t="shared" si="10"/>
        <v>0</v>
      </c>
      <c r="G46" s="75">
        <f t="shared" si="11"/>
        <v>0</v>
      </c>
      <c r="H46" s="75">
        <f t="shared" si="12"/>
        <v>0</v>
      </c>
    </row>
    <row r="47" spans="1:8">
      <c r="A47" s="74" t="str">
        <f t="shared" si="5"/>
        <v>Chilli</v>
      </c>
      <c r="B47" s="75">
        <f t="shared" si="6"/>
        <v>0</v>
      </c>
      <c r="C47" s="75">
        <f t="shared" si="7"/>
        <v>0</v>
      </c>
      <c r="D47" s="75">
        <f t="shared" si="8"/>
        <v>0</v>
      </c>
      <c r="E47" s="75">
        <f t="shared" si="9"/>
        <v>0</v>
      </c>
      <c r="F47" s="75">
        <f t="shared" si="10"/>
        <v>0</v>
      </c>
      <c r="G47" s="75">
        <f t="shared" si="11"/>
        <v>0</v>
      </c>
      <c r="H47" s="75">
        <f t="shared" si="12"/>
        <v>0</v>
      </c>
    </row>
    <row r="48" spans="1:8">
      <c r="A48" s="74" t="str">
        <f t="shared" si="5"/>
        <v>Potato</v>
      </c>
      <c r="B48" s="75">
        <f t="shared" si="6"/>
        <v>0</v>
      </c>
      <c r="C48" s="75">
        <f t="shared" si="7"/>
        <v>0</v>
      </c>
      <c r="D48" s="75">
        <f t="shared" si="8"/>
        <v>0</v>
      </c>
      <c r="E48" s="75">
        <f t="shared" si="9"/>
        <v>0</v>
      </c>
      <c r="F48" s="75">
        <f t="shared" si="10"/>
        <v>0</v>
      </c>
      <c r="G48" s="75">
        <f t="shared" si="11"/>
        <v>0</v>
      </c>
      <c r="H48" s="75">
        <f t="shared" si="12"/>
        <v>0</v>
      </c>
    </row>
    <row r="49" spans="1:8">
      <c r="A49" s="74">
        <f t="shared" si="5"/>
        <v>0</v>
      </c>
      <c r="B49" s="75">
        <f t="shared" si="6"/>
        <v>0</v>
      </c>
      <c r="C49" s="75">
        <f t="shared" si="7"/>
        <v>0</v>
      </c>
      <c r="D49" s="75">
        <f t="shared" si="8"/>
        <v>0</v>
      </c>
      <c r="E49" s="75">
        <f t="shared" si="9"/>
        <v>0</v>
      </c>
      <c r="F49" s="75">
        <f t="shared" si="10"/>
        <v>0</v>
      </c>
      <c r="G49" s="75">
        <f t="shared" si="11"/>
        <v>0</v>
      </c>
      <c r="H49" s="75">
        <f t="shared" si="12"/>
        <v>0</v>
      </c>
    </row>
    <row r="50" spans="1:8">
      <c r="A50" s="74">
        <f t="shared" si="5"/>
        <v>0</v>
      </c>
      <c r="B50" s="75">
        <f t="shared" si="6"/>
        <v>0</v>
      </c>
      <c r="C50" s="75">
        <f t="shared" si="7"/>
        <v>0</v>
      </c>
      <c r="D50" s="75">
        <f t="shared" si="8"/>
        <v>0</v>
      </c>
      <c r="E50" s="75">
        <f t="shared" si="9"/>
        <v>0</v>
      </c>
      <c r="F50" s="75">
        <f t="shared" si="10"/>
        <v>0</v>
      </c>
      <c r="G50" s="75">
        <f t="shared" si="11"/>
        <v>0</v>
      </c>
      <c r="H50" s="75">
        <f t="shared" si="12"/>
        <v>0</v>
      </c>
    </row>
    <row r="51" spans="1:8">
      <c r="A51" s="74">
        <f t="shared" si="5"/>
        <v>0</v>
      </c>
      <c r="B51" s="75">
        <f t="shared" si="6"/>
        <v>0</v>
      </c>
      <c r="C51" s="75">
        <f t="shared" si="7"/>
        <v>0</v>
      </c>
      <c r="D51" s="75">
        <f t="shared" si="8"/>
        <v>0</v>
      </c>
      <c r="E51" s="75">
        <f t="shared" si="9"/>
        <v>0</v>
      </c>
      <c r="F51" s="75">
        <f t="shared" si="10"/>
        <v>0</v>
      </c>
      <c r="G51" s="75">
        <f t="shared" si="11"/>
        <v>0</v>
      </c>
      <c r="H51" s="75">
        <f t="shared" si="12"/>
        <v>0</v>
      </c>
    </row>
    <row r="52" spans="1:8">
      <c r="A52" s="74">
        <f t="shared" si="5"/>
        <v>0</v>
      </c>
      <c r="B52" s="75">
        <f t="shared" si="6"/>
        <v>0</v>
      </c>
      <c r="C52" s="75">
        <f t="shared" si="7"/>
        <v>0</v>
      </c>
      <c r="D52" s="75">
        <f t="shared" si="8"/>
        <v>0</v>
      </c>
      <c r="E52" s="75">
        <f t="shared" si="9"/>
        <v>0</v>
      </c>
      <c r="F52" s="75">
        <f t="shared" si="10"/>
        <v>0</v>
      </c>
      <c r="G52" s="75">
        <f t="shared" si="11"/>
        <v>0</v>
      </c>
      <c r="H52" s="75">
        <f t="shared" si="12"/>
        <v>0</v>
      </c>
    </row>
    <row r="53" spans="1:8">
      <c r="A53" s="74" t="str">
        <f t="shared" si="5"/>
        <v>Onion</v>
      </c>
      <c r="B53" s="75">
        <f t="shared" si="6"/>
        <v>0</v>
      </c>
      <c r="C53" s="75">
        <f t="shared" si="7"/>
        <v>0</v>
      </c>
      <c r="D53" s="75">
        <f t="shared" si="8"/>
        <v>0</v>
      </c>
      <c r="E53" s="75">
        <f t="shared" si="9"/>
        <v>0</v>
      </c>
      <c r="F53" s="75">
        <f t="shared" si="10"/>
        <v>0</v>
      </c>
      <c r="G53" s="75">
        <f t="shared" si="11"/>
        <v>0</v>
      </c>
      <c r="H53" s="75">
        <f t="shared" si="12"/>
        <v>0</v>
      </c>
    </row>
    <row r="54" spans="1:8">
      <c r="A54" s="74" t="str">
        <f t="shared" si="5"/>
        <v>Tomato</v>
      </c>
      <c r="B54" s="75">
        <f t="shared" si="6"/>
        <v>0</v>
      </c>
      <c r="C54" s="75">
        <f t="shared" si="7"/>
        <v>0</v>
      </c>
      <c r="D54" s="75">
        <f t="shared" si="8"/>
        <v>0</v>
      </c>
      <c r="E54" s="75">
        <f t="shared" si="9"/>
        <v>0</v>
      </c>
      <c r="F54" s="75">
        <f t="shared" si="10"/>
        <v>0</v>
      </c>
      <c r="G54" s="75">
        <f t="shared" si="11"/>
        <v>0</v>
      </c>
      <c r="H54" s="75">
        <f t="shared" si="12"/>
        <v>0</v>
      </c>
    </row>
    <row r="55" spans="1:8">
      <c r="A55" s="74" t="str">
        <f t="shared" si="5"/>
        <v>Okra</v>
      </c>
      <c r="B55" s="75">
        <f t="shared" si="6"/>
        <v>0</v>
      </c>
      <c r="C55" s="75">
        <f t="shared" si="7"/>
        <v>0</v>
      </c>
      <c r="D55" s="75">
        <f t="shared" si="8"/>
        <v>0</v>
      </c>
      <c r="E55" s="75">
        <f t="shared" si="9"/>
        <v>0</v>
      </c>
      <c r="F55" s="75">
        <f t="shared" si="10"/>
        <v>0</v>
      </c>
      <c r="G55" s="75">
        <f t="shared" si="11"/>
        <v>0</v>
      </c>
      <c r="H55" s="75">
        <f t="shared" si="12"/>
        <v>0</v>
      </c>
    </row>
    <row r="56" spans="1:8">
      <c r="A56" s="74" t="str">
        <f t="shared" si="5"/>
        <v>Chilli</v>
      </c>
      <c r="B56" s="75">
        <f t="shared" si="6"/>
        <v>0</v>
      </c>
      <c r="C56" s="75">
        <f t="shared" si="7"/>
        <v>0</v>
      </c>
      <c r="D56" s="75">
        <f t="shared" si="8"/>
        <v>0</v>
      </c>
      <c r="E56" s="75">
        <f t="shared" si="9"/>
        <v>0</v>
      </c>
      <c r="F56" s="75">
        <f t="shared" si="10"/>
        <v>0</v>
      </c>
      <c r="G56" s="75">
        <f t="shared" si="11"/>
        <v>0</v>
      </c>
      <c r="H56" s="75">
        <f t="shared" si="12"/>
        <v>0</v>
      </c>
    </row>
    <row r="57" spans="1:8">
      <c r="A57" s="74" t="str">
        <f t="shared" si="5"/>
        <v>Brinjal</v>
      </c>
      <c r="B57" s="75">
        <f t="shared" si="6"/>
        <v>0</v>
      </c>
      <c r="C57" s="75">
        <f t="shared" si="7"/>
        <v>0</v>
      </c>
      <c r="D57" s="75">
        <f t="shared" si="8"/>
        <v>0</v>
      </c>
      <c r="E57" s="75">
        <f t="shared" si="9"/>
        <v>0</v>
      </c>
      <c r="F57" s="75">
        <f t="shared" si="10"/>
        <v>0</v>
      </c>
      <c r="G57" s="75">
        <f t="shared" si="11"/>
        <v>0</v>
      </c>
      <c r="H57" s="75">
        <f t="shared" si="12"/>
        <v>0</v>
      </c>
    </row>
    <row r="58" spans="1:8">
      <c r="A58" s="74">
        <f t="shared" si="5"/>
        <v>0</v>
      </c>
      <c r="B58" s="75">
        <f t="shared" si="6"/>
        <v>0</v>
      </c>
      <c r="C58" s="75">
        <f t="shared" si="7"/>
        <v>0</v>
      </c>
      <c r="D58" s="75">
        <f t="shared" si="8"/>
        <v>0</v>
      </c>
      <c r="E58" s="75">
        <f t="shared" si="9"/>
        <v>0</v>
      </c>
      <c r="F58" s="75">
        <f t="shared" si="10"/>
        <v>0</v>
      </c>
      <c r="G58" s="75">
        <f t="shared" si="11"/>
        <v>0</v>
      </c>
      <c r="H58" s="75">
        <f t="shared" si="12"/>
        <v>0</v>
      </c>
    </row>
    <row r="59" spans="1:8">
      <c r="A59" s="74">
        <f t="shared" si="5"/>
        <v>0</v>
      </c>
      <c r="B59" s="75">
        <f t="shared" si="6"/>
        <v>0</v>
      </c>
      <c r="C59" s="75">
        <f t="shared" si="7"/>
        <v>0</v>
      </c>
      <c r="D59" s="75">
        <f t="shared" si="8"/>
        <v>0</v>
      </c>
      <c r="E59" s="75">
        <f t="shared" si="9"/>
        <v>0</v>
      </c>
      <c r="F59" s="75">
        <f t="shared" si="10"/>
        <v>0</v>
      </c>
      <c r="G59" s="75">
        <f t="shared" si="11"/>
        <v>0</v>
      </c>
      <c r="H59" s="75">
        <f t="shared" si="12"/>
        <v>0</v>
      </c>
    </row>
    <row r="60" spans="1:8">
      <c r="A60" s="74">
        <f t="shared" si="5"/>
        <v>0</v>
      </c>
      <c r="B60" s="75">
        <f t="shared" si="6"/>
        <v>0</v>
      </c>
      <c r="C60" s="75">
        <f t="shared" si="7"/>
        <v>0</v>
      </c>
      <c r="D60" s="75">
        <f t="shared" si="8"/>
        <v>0</v>
      </c>
      <c r="E60" s="75">
        <f t="shared" si="9"/>
        <v>0</v>
      </c>
      <c r="F60" s="75">
        <f t="shared" si="10"/>
        <v>0</v>
      </c>
      <c r="G60" s="75">
        <f t="shared" si="11"/>
        <v>0</v>
      </c>
      <c r="H60" s="75">
        <f t="shared" si="12"/>
        <v>0</v>
      </c>
    </row>
    <row r="61" spans="1:8">
      <c r="A61" s="74">
        <f t="shared" si="5"/>
        <v>0</v>
      </c>
      <c r="B61" s="75">
        <f t="shared" si="6"/>
        <v>0</v>
      </c>
      <c r="C61" s="75">
        <f t="shared" si="7"/>
        <v>0</v>
      </c>
      <c r="D61" s="75">
        <f t="shared" si="8"/>
        <v>0</v>
      </c>
      <c r="E61" s="75">
        <f t="shared" si="9"/>
        <v>0</v>
      </c>
      <c r="F61" s="75">
        <f t="shared" si="10"/>
        <v>0</v>
      </c>
      <c r="G61" s="75">
        <f t="shared" si="11"/>
        <v>0</v>
      </c>
      <c r="H61" s="75">
        <f t="shared" si="12"/>
        <v>0</v>
      </c>
    </row>
    <row r="62" spans="1:8">
      <c r="A62" s="74" t="str">
        <f t="shared" ref="A62" si="13">A34</f>
        <v>Pomegranate</v>
      </c>
      <c r="B62" s="75">
        <f>B34*$B$41</f>
        <v>0</v>
      </c>
      <c r="C62" s="75">
        <f t="shared" ref="C62:H62" si="14">C34*$B$41</f>
        <v>0</v>
      </c>
      <c r="D62" s="75">
        <f t="shared" si="14"/>
        <v>0</v>
      </c>
      <c r="E62" s="75">
        <f t="shared" si="14"/>
        <v>0</v>
      </c>
      <c r="F62" s="75">
        <f t="shared" si="14"/>
        <v>0</v>
      </c>
      <c r="G62" s="75">
        <f t="shared" si="14"/>
        <v>0</v>
      </c>
      <c r="H62" s="75">
        <f t="shared" si="14"/>
        <v>0</v>
      </c>
    </row>
    <row r="63" spans="1:8">
      <c r="A63" s="74" t="str">
        <f>A35</f>
        <v>Custard Apple</v>
      </c>
      <c r="B63" s="75">
        <f t="shared" ref="B63:H63" si="15">B35*$B$41</f>
        <v>0</v>
      </c>
      <c r="C63" s="75">
        <f t="shared" si="15"/>
        <v>0</v>
      </c>
      <c r="D63" s="75">
        <f t="shared" si="15"/>
        <v>0</v>
      </c>
      <c r="E63" s="75">
        <f t="shared" si="15"/>
        <v>0</v>
      </c>
      <c r="F63" s="75">
        <f t="shared" si="15"/>
        <v>0</v>
      </c>
      <c r="G63" s="75">
        <f t="shared" si="15"/>
        <v>0</v>
      </c>
      <c r="H63" s="75">
        <f t="shared" si="15"/>
        <v>0</v>
      </c>
    </row>
    <row r="64" spans="1:8">
      <c r="A64" s="74" t="str">
        <f>A36</f>
        <v>Guava</v>
      </c>
      <c r="B64" s="75">
        <f t="shared" ref="B64:H65" si="16">B36*$B$41</f>
        <v>0</v>
      </c>
      <c r="C64" s="75">
        <f t="shared" si="16"/>
        <v>0</v>
      </c>
      <c r="D64" s="75">
        <f t="shared" si="16"/>
        <v>0</v>
      </c>
      <c r="E64" s="75">
        <f t="shared" si="16"/>
        <v>0</v>
      </c>
      <c r="F64" s="75">
        <f t="shared" si="16"/>
        <v>0</v>
      </c>
      <c r="G64" s="75">
        <f t="shared" si="16"/>
        <v>0</v>
      </c>
      <c r="H64" s="75">
        <f t="shared" si="16"/>
        <v>0</v>
      </c>
    </row>
    <row r="65" spans="1:8">
      <c r="A65" s="74" t="str">
        <f>A37</f>
        <v>Citrus</v>
      </c>
      <c r="B65" s="75">
        <f t="shared" si="16"/>
        <v>0</v>
      </c>
      <c r="C65" s="75">
        <f t="shared" si="16"/>
        <v>0</v>
      </c>
      <c r="D65" s="75">
        <f t="shared" si="16"/>
        <v>0</v>
      </c>
      <c r="E65" s="75">
        <f t="shared" si="16"/>
        <v>0</v>
      </c>
      <c r="F65" s="75">
        <f t="shared" si="16"/>
        <v>0</v>
      </c>
      <c r="G65" s="75">
        <f t="shared" si="16"/>
        <v>0</v>
      </c>
      <c r="H65" s="75">
        <f t="shared" si="16"/>
        <v>0</v>
      </c>
    </row>
    <row r="66" spans="1:8">
      <c r="A66" s="76" t="s">
        <v>282</v>
      </c>
      <c r="B66" s="74"/>
      <c r="C66" s="74"/>
      <c r="D66" s="74"/>
      <c r="E66" s="74"/>
      <c r="F66" s="74"/>
      <c r="G66" s="74"/>
      <c r="H66" s="74"/>
    </row>
    <row r="67" spans="1:8">
      <c r="A67" s="74" t="str">
        <f>A44</f>
        <v>Onion</v>
      </c>
      <c r="B67" s="162"/>
      <c r="C67" s="162"/>
      <c r="D67" s="162"/>
      <c r="E67" s="162"/>
      <c r="F67" s="162"/>
      <c r="G67" s="162"/>
      <c r="H67" s="162"/>
    </row>
    <row r="68" spans="1:8">
      <c r="A68" s="74"/>
      <c r="B68" s="162"/>
      <c r="C68" s="162"/>
      <c r="D68" s="162"/>
      <c r="E68" s="162"/>
      <c r="F68" s="162"/>
      <c r="G68" s="162"/>
      <c r="H68" s="162"/>
    </row>
    <row r="69" spans="1:8">
      <c r="A69" s="74"/>
      <c r="B69" s="162"/>
      <c r="C69" s="162"/>
      <c r="D69" s="162"/>
      <c r="E69" s="162"/>
      <c r="F69" s="162"/>
      <c r="G69" s="162"/>
      <c r="H69" s="162"/>
    </row>
    <row r="70" spans="1:8">
      <c r="A70" s="74"/>
      <c r="B70" s="162"/>
      <c r="C70" s="162"/>
      <c r="D70" s="162"/>
      <c r="E70" s="162"/>
      <c r="F70" s="162"/>
      <c r="G70" s="162"/>
      <c r="H70" s="162"/>
    </row>
    <row r="71" spans="1:8">
      <c r="A71" s="74" t="str">
        <f>A45</f>
        <v>Tomato</v>
      </c>
      <c r="B71" s="75"/>
      <c r="C71" s="75"/>
      <c r="D71" s="75"/>
      <c r="E71" s="75"/>
      <c r="F71" s="75"/>
      <c r="G71" s="75"/>
      <c r="H71" s="75"/>
    </row>
    <row r="72" spans="1:8">
      <c r="A72" s="74"/>
      <c r="B72" s="75"/>
      <c r="C72" s="75"/>
      <c r="D72" s="75"/>
      <c r="E72" s="75"/>
      <c r="F72" s="75"/>
      <c r="G72" s="75"/>
      <c r="H72" s="75"/>
    </row>
    <row r="73" spans="1:8">
      <c r="A73" s="74"/>
      <c r="B73" s="75"/>
      <c r="C73" s="75"/>
      <c r="D73" s="75"/>
      <c r="E73" s="75"/>
      <c r="F73" s="75"/>
      <c r="G73" s="75"/>
      <c r="H73" s="75"/>
    </row>
    <row r="74" spans="1:8">
      <c r="A74" s="74"/>
      <c r="B74" s="75"/>
      <c r="C74" s="75"/>
      <c r="D74" s="75"/>
      <c r="E74" s="75"/>
      <c r="F74" s="75"/>
      <c r="G74" s="75"/>
      <c r="H74" s="75"/>
    </row>
    <row r="75" spans="1:8">
      <c r="A75" s="74" t="str">
        <f>A46</f>
        <v>Okra</v>
      </c>
      <c r="B75" s="75"/>
      <c r="C75" s="75"/>
      <c r="D75" s="75"/>
      <c r="E75" s="75"/>
      <c r="F75" s="75"/>
      <c r="G75" s="75"/>
      <c r="H75" s="75"/>
    </row>
    <row r="76" spans="1:8">
      <c r="A76" s="74"/>
      <c r="B76" s="75"/>
      <c r="C76" s="75"/>
      <c r="D76" s="75"/>
      <c r="E76" s="75"/>
      <c r="F76" s="75"/>
      <c r="G76" s="75"/>
      <c r="H76" s="75"/>
    </row>
    <row r="77" spans="1:8">
      <c r="A77" s="74"/>
      <c r="B77" s="75"/>
      <c r="C77" s="75"/>
      <c r="D77" s="75"/>
      <c r="E77" s="75"/>
      <c r="F77" s="75"/>
      <c r="G77" s="75"/>
      <c r="H77" s="75"/>
    </row>
    <row r="78" spans="1:8">
      <c r="A78" s="74"/>
      <c r="B78" s="75"/>
      <c r="C78" s="75"/>
      <c r="D78" s="75"/>
      <c r="E78" s="75"/>
      <c r="F78" s="75"/>
      <c r="G78" s="75"/>
      <c r="H78" s="75"/>
    </row>
    <row r="79" spans="1:8">
      <c r="A79" s="74" t="str">
        <f>A47</f>
        <v>Chilli</v>
      </c>
      <c r="B79" s="75"/>
      <c r="C79" s="75"/>
      <c r="D79" s="75"/>
      <c r="E79" s="75"/>
      <c r="F79" s="75"/>
      <c r="G79" s="75"/>
      <c r="H79" s="75"/>
    </row>
    <row r="80" spans="1:8">
      <c r="A80" s="74"/>
      <c r="B80" s="75"/>
      <c r="C80" s="75"/>
      <c r="D80" s="75"/>
      <c r="E80" s="75"/>
      <c r="F80" s="75"/>
      <c r="G80" s="75"/>
      <c r="H80" s="75"/>
    </row>
    <row r="81" spans="1:8">
      <c r="A81" s="74"/>
      <c r="B81" s="75"/>
      <c r="C81" s="75"/>
      <c r="D81" s="75"/>
      <c r="E81" s="75"/>
      <c r="F81" s="75"/>
      <c r="G81" s="75"/>
      <c r="H81" s="75"/>
    </row>
    <row r="82" spans="1:8">
      <c r="A82" s="74"/>
      <c r="B82" s="75"/>
      <c r="C82" s="75"/>
      <c r="D82" s="75"/>
      <c r="E82" s="75"/>
      <c r="F82" s="75"/>
      <c r="G82" s="75"/>
      <c r="H82" s="75"/>
    </row>
    <row r="83" spans="1:8">
      <c r="A83" s="74" t="str">
        <f>A48</f>
        <v>Potato</v>
      </c>
      <c r="B83" s="75"/>
      <c r="C83" s="75"/>
      <c r="D83" s="75"/>
      <c r="E83" s="75"/>
      <c r="F83" s="75"/>
      <c r="G83" s="75"/>
      <c r="H83" s="75"/>
    </row>
    <row r="84" spans="1:8">
      <c r="A84" s="74"/>
      <c r="B84" s="75"/>
      <c r="C84" s="75"/>
      <c r="D84" s="75"/>
      <c r="E84" s="75"/>
      <c r="F84" s="75"/>
      <c r="G84" s="75"/>
      <c r="H84" s="75"/>
    </row>
    <row r="85" spans="1:8">
      <c r="A85" s="74"/>
      <c r="B85" s="75"/>
      <c r="C85" s="75"/>
      <c r="D85" s="75"/>
      <c r="E85" s="75"/>
      <c r="F85" s="75"/>
      <c r="G85" s="75"/>
      <c r="H85" s="75"/>
    </row>
    <row r="86" spans="1:8">
      <c r="A86" s="74"/>
      <c r="B86" s="75"/>
      <c r="C86" s="75"/>
      <c r="D86" s="75"/>
      <c r="E86" s="75"/>
      <c r="F86" s="75"/>
      <c r="G86" s="75"/>
      <c r="H86" s="75"/>
    </row>
    <row r="87" spans="1:8">
      <c r="A87" s="74">
        <f>A49</f>
        <v>0</v>
      </c>
      <c r="B87" s="75"/>
      <c r="C87" s="75"/>
      <c r="D87" s="75"/>
      <c r="E87" s="75"/>
      <c r="F87" s="75"/>
      <c r="G87" s="75"/>
      <c r="H87" s="75"/>
    </row>
    <row r="88" spans="1:8">
      <c r="A88" s="74"/>
      <c r="B88" s="75"/>
      <c r="C88" s="75"/>
      <c r="D88" s="75"/>
      <c r="E88" s="75"/>
      <c r="F88" s="75"/>
      <c r="G88" s="75"/>
      <c r="H88" s="75"/>
    </row>
    <row r="89" spans="1:8">
      <c r="A89" s="74"/>
      <c r="B89" s="75"/>
      <c r="C89" s="75"/>
      <c r="D89" s="75"/>
      <c r="E89" s="75"/>
      <c r="F89" s="75"/>
      <c r="G89" s="75"/>
      <c r="H89" s="75"/>
    </row>
    <row r="90" spans="1:8">
      <c r="A90" s="74"/>
      <c r="B90" s="75"/>
      <c r="C90" s="75"/>
      <c r="D90" s="75"/>
      <c r="E90" s="75"/>
      <c r="F90" s="75"/>
      <c r="G90" s="75"/>
      <c r="H90" s="75"/>
    </row>
    <row r="91" spans="1:8">
      <c r="A91" s="74">
        <f>A50</f>
        <v>0</v>
      </c>
      <c r="B91" s="75"/>
      <c r="C91" s="75"/>
      <c r="D91" s="75"/>
      <c r="E91" s="75"/>
      <c r="F91" s="75"/>
      <c r="G91" s="75"/>
      <c r="H91" s="75"/>
    </row>
    <row r="92" spans="1:8">
      <c r="A92" s="74"/>
      <c r="B92" s="75"/>
      <c r="C92" s="75"/>
      <c r="D92" s="75"/>
      <c r="E92" s="75"/>
      <c r="F92" s="75"/>
      <c r="G92" s="75"/>
      <c r="H92" s="75"/>
    </row>
    <row r="93" spans="1:8">
      <c r="A93" s="74"/>
      <c r="B93" s="75"/>
      <c r="C93" s="75"/>
      <c r="D93" s="75"/>
      <c r="E93" s="75"/>
      <c r="F93" s="75"/>
      <c r="G93" s="75"/>
      <c r="H93" s="75"/>
    </row>
    <row r="94" spans="1:8">
      <c r="A94" s="74">
        <f>A51</f>
        <v>0</v>
      </c>
      <c r="B94" s="75"/>
      <c r="C94" s="75"/>
      <c r="D94" s="75"/>
      <c r="E94" s="75"/>
      <c r="F94" s="75"/>
      <c r="G94" s="75"/>
      <c r="H94" s="75"/>
    </row>
    <row r="95" spans="1:8">
      <c r="A95" s="74"/>
      <c r="B95" s="75"/>
      <c r="C95" s="75"/>
      <c r="D95" s="75"/>
      <c r="E95" s="75"/>
      <c r="F95" s="75"/>
      <c r="G95" s="75"/>
      <c r="H95" s="75"/>
    </row>
    <row r="96" spans="1:8">
      <c r="A96" s="74"/>
      <c r="B96" s="75"/>
      <c r="C96" s="75"/>
      <c r="D96" s="75"/>
      <c r="E96" s="75"/>
      <c r="F96" s="75"/>
      <c r="G96" s="75"/>
      <c r="H96" s="75"/>
    </row>
    <row r="97" spans="1:8">
      <c r="A97" s="74"/>
      <c r="B97" s="75"/>
      <c r="C97" s="75"/>
      <c r="D97" s="75"/>
      <c r="E97" s="75"/>
      <c r="F97" s="75"/>
      <c r="G97" s="75"/>
      <c r="H97" s="75"/>
    </row>
    <row r="98" spans="1:8">
      <c r="A98" s="74">
        <f>A52</f>
        <v>0</v>
      </c>
      <c r="B98" s="75"/>
      <c r="C98" s="75"/>
      <c r="D98" s="75"/>
      <c r="E98" s="75"/>
      <c r="F98" s="75"/>
      <c r="G98" s="75"/>
      <c r="H98" s="75"/>
    </row>
    <row r="99" spans="1:8">
      <c r="A99" s="74"/>
      <c r="B99" s="75"/>
      <c r="C99" s="75"/>
      <c r="D99" s="75"/>
      <c r="E99" s="75"/>
      <c r="F99" s="75"/>
      <c r="G99" s="75"/>
      <c r="H99" s="75"/>
    </row>
    <row r="100" spans="1:8">
      <c r="A100" s="74"/>
      <c r="B100" s="75"/>
      <c r="C100" s="75"/>
      <c r="D100" s="75"/>
      <c r="E100" s="75"/>
      <c r="F100" s="75"/>
      <c r="G100" s="75"/>
      <c r="H100" s="75"/>
    </row>
    <row r="101" spans="1:8">
      <c r="A101" s="74"/>
      <c r="B101" s="75"/>
      <c r="C101" s="75"/>
      <c r="D101" s="75"/>
      <c r="E101" s="75"/>
      <c r="F101" s="75"/>
      <c r="G101" s="75"/>
      <c r="H101" s="75"/>
    </row>
    <row r="102" spans="1:8">
      <c r="A102" s="74" t="str">
        <f>A53</f>
        <v>Onion</v>
      </c>
      <c r="B102" s="75"/>
      <c r="C102" s="75"/>
      <c r="D102" s="75"/>
      <c r="E102" s="75"/>
      <c r="F102" s="75"/>
      <c r="G102" s="75"/>
      <c r="H102" s="75"/>
    </row>
    <row r="103" spans="1:8">
      <c r="A103" s="74"/>
      <c r="B103" s="75"/>
      <c r="C103" s="75"/>
      <c r="D103" s="75"/>
      <c r="E103" s="75"/>
      <c r="F103" s="75"/>
      <c r="G103" s="75"/>
      <c r="H103" s="75"/>
    </row>
    <row r="104" spans="1:8">
      <c r="A104" s="74"/>
      <c r="B104" s="75"/>
      <c r="C104" s="75"/>
      <c r="D104" s="75"/>
      <c r="E104" s="75"/>
      <c r="F104" s="75"/>
      <c r="G104" s="75"/>
      <c r="H104" s="75"/>
    </row>
    <row r="105" spans="1:8">
      <c r="A105" s="74"/>
      <c r="B105" s="75"/>
      <c r="C105" s="75"/>
      <c r="D105" s="75"/>
      <c r="E105" s="75"/>
      <c r="F105" s="75"/>
      <c r="G105" s="75"/>
      <c r="H105" s="75"/>
    </row>
    <row r="106" spans="1:8">
      <c r="A106" s="74" t="str">
        <f>A54</f>
        <v>Tomato</v>
      </c>
      <c r="B106" s="75"/>
      <c r="C106" s="75"/>
      <c r="D106" s="75"/>
      <c r="E106" s="75"/>
      <c r="F106" s="75"/>
      <c r="G106" s="75"/>
      <c r="H106" s="75"/>
    </row>
    <row r="107" spans="1:8">
      <c r="A107" s="74"/>
      <c r="B107" s="75"/>
      <c r="C107" s="75"/>
      <c r="D107" s="75"/>
      <c r="E107" s="75"/>
      <c r="F107" s="75"/>
      <c r="G107" s="75"/>
      <c r="H107" s="75"/>
    </row>
    <row r="108" spans="1:8">
      <c r="A108" s="74"/>
      <c r="B108" s="75"/>
      <c r="C108" s="75"/>
      <c r="D108" s="75"/>
      <c r="E108" s="75"/>
      <c r="F108" s="75"/>
      <c r="G108" s="75"/>
      <c r="H108" s="75"/>
    </row>
    <row r="109" spans="1:8">
      <c r="A109" s="74"/>
      <c r="B109" s="75"/>
      <c r="C109" s="75"/>
      <c r="D109" s="75"/>
      <c r="E109" s="75"/>
      <c r="F109" s="75"/>
      <c r="G109" s="75"/>
      <c r="H109" s="75"/>
    </row>
    <row r="110" spans="1:8">
      <c r="A110" s="74" t="str">
        <f>A55</f>
        <v>Okra</v>
      </c>
      <c r="B110" s="75"/>
      <c r="C110" s="75"/>
      <c r="D110" s="75"/>
      <c r="E110" s="75"/>
      <c r="F110" s="75"/>
      <c r="G110" s="75"/>
      <c r="H110" s="75"/>
    </row>
    <row r="111" spans="1:8">
      <c r="A111" s="74"/>
      <c r="B111" s="75"/>
      <c r="C111" s="75"/>
      <c r="D111" s="75"/>
      <c r="E111" s="75"/>
      <c r="F111" s="75"/>
      <c r="G111" s="75"/>
      <c r="H111" s="75"/>
    </row>
    <row r="112" spans="1:8">
      <c r="A112" s="74"/>
      <c r="B112" s="75"/>
      <c r="C112" s="75"/>
      <c r="D112" s="75"/>
      <c r="E112" s="75"/>
      <c r="F112" s="75"/>
      <c r="G112" s="75"/>
      <c r="H112" s="75"/>
    </row>
    <row r="113" spans="1:8">
      <c r="A113" s="74"/>
      <c r="B113" s="75"/>
      <c r="C113" s="75"/>
      <c r="D113" s="75"/>
      <c r="E113" s="75"/>
      <c r="F113" s="75"/>
      <c r="G113" s="75"/>
      <c r="H113" s="75"/>
    </row>
    <row r="114" spans="1:8">
      <c r="A114" s="74" t="str">
        <f>A56</f>
        <v>Chilli</v>
      </c>
      <c r="B114" s="75"/>
      <c r="C114" s="75"/>
      <c r="D114" s="75"/>
      <c r="E114" s="75"/>
      <c r="F114" s="75"/>
      <c r="G114" s="75"/>
      <c r="H114" s="75"/>
    </row>
    <row r="115" spans="1:8">
      <c r="A115" s="74"/>
      <c r="B115" s="75"/>
      <c r="C115" s="75"/>
      <c r="D115" s="75"/>
      <c r="E115" s="75"/>
      <c r="F115" s="75"/>
      <c r="G115" s="75"/>
      <c r="H115" s="75"/>
    </row>
    <row r="116" spans="1:8">
      <c r="A116" s="74"/>
      <c r="B116" s="75"/>
      <c r="C116" s="75"/>
      <c r="D116" s="75"/>
      <c r="E116" s="75"/>
      <c r="F116" s="75"/>
      <c r="G116" s="75"/>
      <c r="H116" s="75"/>
    </row>
    <row r="117" spans="1:8">
      <c r="A117" s="74"/>
      <c r="B117" s="75"/>
      <c r="C117" s="75"/>
      <c r="D117" s="75"/>
      <c r="E117" s="75"/>
      <c r="F117" s="75"/>
      <c r="G117" s="75"/>
      <c r="H117" s="75"/>
    </row>
    <row r="118" spans="1:8">
      <c r="A118" s="76" t="str">
        <f t="shared" ref="A118:A123" si="17">A57</f>
        <v>Brinjal</v>
      </c>
      <c r="B118" s="75"/>
      <c r="C118" s="75"/>
      <c r="D118" s="75"/>
      <c r="E118" s="75"/>
      <c r="F118" s="75"/>
      <c r="G118" s="75"/>
      <c r="H118" s="75"/>
    </row>
    <row r="119" spans="1:8">
      <c r="A119" s="74">
        <f t="shared" si="17"/>
        <v>0</v>
      </c>
      <c r="B119" s="75"/>
      <c r="C119" s="75"/>
      <c r="D119" s="75"/>
      <c r="E119" s="75"/>
      <c r="F119" s="75"/>
      <c r="G119" s="75"/>
      <c r="H119" s="75"/>
    </row>
    <row r="120" spans="1:8">
      <c r="A120" s="74">
        <f t="shared" si="17"/>
        <v>0</v>
      </c>
      <c r="B120" s="75"/>
      <c r="C120" s="75"/>
      <c r="D120" s="75"/>
      <c r="E120" s="75"/>
      <c r="F120" s="75"/>
      <c r="G120" s="75"/>
      <c r="H120" s="75"/>
    </row>
    <row r="121" spans="1:8">
      <c r="A121" s="74">
        <f t="shared" si="17"/>
        <v>0</v>
      </c>
      <c r="B121" s="75"/>
      <c r="C121" s="75"/>
      <c r="D121" s="75"/>
      <c r="E121" s="75"/>
      <c r="F121" s="75"/>
      <c r="G121" s="75"/>
      <c r="H121" s="75"/>
    </row>
    <row r="122" spans="1:8">
      <c r="A122" s="74">
        <f t="shared" si="17"/>
        <v>0</v>
      </c>
      <c r="B122" s="75"/>
      <c r="C122" s="75"/>
      <c r="D122" s="75"/>
      <c r="E122" s="75"/>
      <c r="F122" s="75"/>
      <c r="G122" s="75"/>
      <c r="H122" s="75"/>
    </row>
    <row r="123" spans="1:8">
      <c r="A123" s="76" t="str">
        <f t="shared" si="17"/>
        <v>Pomegranate</v>
      </c>
      <c r="B123" s="75"/>
      <c r="C123" s="75"/>
      <c r="D123" s="75"/>
      <c r="E123" s="75"/>
      <c r="F123" s="75"/>
      <c r="G123" s="75"/>
      <c r="H123" s="75"/>
    </row>
    <row r="124" spans="1:8">
      <c r="A124" s="74" t="s">
        <v>524</v>
      </c>
      <c r="B124" s="75">
        <f>(B$62*50%)*0.7</f>
        <v>0</v>
      </c>
      <c r="C124" s="75">
        <f>(C$62*50%)*0.7</f>
        <v>0</v>
      </c>
      <c r="D124" s="75">
        <f t="shared" ref="D124:H126" si="18">(D$62*50%)*0.7</f>
        <v>0</v>
      </c>
      <c r="E124" s="75">
        <f t="shared" si="18"/>
        <v>0</v>
      </c>
      <c r="F124" s="75">
        <f t="shared" si="18"/>
        <v>0</v>
      </c>
      <c r="G124" s="75">
        <f t="shared" si="18"/>
        <v>0</v>
      </c>
      <c r="H124" s="75">
        <f t="shared" si="18"/>
        <v>0</v>
      </c>
    </row>
    <row r="125" spans="1:8">
      <c r="A125" s="74" t="s">
        <v>522</v>
      </c>
      <c r="B125" s="75">
        <f>(B$62*50%)*0.7*2</f>
        <v>0</v>
      </c>
      <c r="C125" s="75">
        <f>(C$62*50%)*0.7</f>
        <v>0</v>
      </c>
      <c r="D125" s="75">
        <f t="shared" si="18"/>
        <v>0</v>
      </c>
      <c r="E125" s="75">
        <f t="shared" si="18"/>
        <v>0</v>
      </c>
      <c r="F125" s="75">
        <f t="shared" si="18"/>
        <v>0</v>
      </c>
      <c r="G125" s="75">
        <f t="shared" si="18"/>
        <v>0</v>
      </c>
      <c r="H125" s="75">
        <f t="shared" si="18"/>
        <v>0</v>
      </c>
    </row>
    <row r="126" spans="1:8">
      <c r="A126" s="74" t="s">
        <v>523</v>
      </c>
      <c r="B126" s="75">
        <f>(B$62*0.3)*0.2</f>
        <v>0</v>
      </c>
      <c r="C126" s="75">
        <f>(C$62*50%)*0.7</f>
        <v>0</v>
      </c>
      <c r="D126" s="75">
        <f t="shared" si="18"/>
        <v>0</v>
      </c>
      <c r="E126" s="75">
        <f t="shared" si="18"/>
        <v>0</v>
      </c>
      <c r="F126" s="75">
        <f t="shared" si="18"/>
        <v>0</v>
      </c>
      <c r="G126" s="75">
        <f t="shared" si="18"/>
        <v>0</v>
      </c>
      <c r="H126" s="75">
        <f t="shared" si="18"/>
        <v>0</v>
      </c>
    </row>
    <row r="127" spans="1:8">
      <c r="A127" s="74" t="str">
        <f t="shared" ref="A127" si="19">A63</f>
        <v>Custard Apple</v>
      </c>
      <c r="B127" s="75"/>
      <c r="C127" s="75"/>
      <c r="D127" s="75"/>
      <c r="E127" s="75"/>
      <c r="F127" s="75"/>
      <c r="G127" s="75"/>
      <c r="H127" s="75"/>
    </row>
    <row r="128" spans="1:8">
      <c r="A128" s="74"/>
      <c r="B128" s="75"/>
      <c r="C128" s="75"/>
      <c r="D128" s="75"/>
      <c r="E128" s="75"/>
      <c r="F128" s="75"/>
      <c r="G128" s="75"/>
      <c r="H128" s="75"/>
    </row>
    <row r="129" spans="1:8">
      <c r="A129" s="74"/>
      <c r="B129" s="75"/>
      <c r="C129" s="75"/>
      <c r="D129" s="75"/>
      <c r="E129" s="75"/>
      <c r="F129" s="75"/>
      <c r="G129" s="75"/>
      <c r="H129" s="75"/>
    </row>
    <row r="130" spans="1:8">
      <c r="A130" s="74"/>
      <c r="B130" s="75"/>
      <c r="C130" s="75"/>
      <c r="D130" s="75"/>
      <c r="E130" s="75"/>
      <c r="F130" s="75"/>
      <c r="G130" s="75"/>
      <c r="H130" s="75"/>
    </row>
    <row r="131" spans="1:8">
      <c r="A131" s="74" t="str">
        <f>A64</f>
        <v>Guava</v>
      </c>
      <c r="B131" s="75"/>
      <c r="C131" s="75"/>
      <c r="D131" s="75"/>
      <c r="E131" s="75"/>
      <c r="F131" s="75"/>
      <c r="G131" s="75"/>
      <c r="H131" s="75"/>
    </row>
    <row r="132" spans="1:8">
      <c r="A132" s="74"/>
      <c r="B132" s="75"/>
      <c r="C132" s="75"/>
      <c r="D132" s="75"/>
      <c r="E132" s="75"/>
      <c r="F132" s="75"/>
      <c r="G132" s="75"/>
      <c r="H132" s="75"/>
    </row>
    <row r="133" spans="1:8">
      <c r="A133" s="74"/>
      <c r="B133" s="75"/>
      <c r="C133" s="75"/>
      <c r="D133" s="75"/>
      <c r="E133" s="75"/>
      <c r="F133" s="75"/>
      <c r="G133" s="75"/>
      <c r="H133" s="75"/>
    </row>
    <row r="134" spans="1:8">
      <c r="A134" s="74"/>
      <c r="B134" s="75"/>
      <c r="C134" s="75"/>
      <c r="D134" s="75"/>
      <c r="E134" s="75"/>
      <c r="F134" s="75"/>
      <c r="G134" s="75"/>
      <c r="H134" s="75"/>
    </row>
    <row r="135" spans="1:8">
      <c r="A135" s="74" t="str">
        <f>A65</f>
        <v>Citrus</v>
      </c>
      <c r="B135" s="75"/>
      <c r="C135" s="75"/>
      <c r="D135" s="75"/>
      <c r="E135" s="75"/>
      <c r="F135" s="75"/>
      <c r="G135" s="75"/>
      <c r="H135" s="75"/>
    </row>
    <row r="136" spans="1:8">
      <c r="A136" s="74"/>
      <c r="B136" s="75"/>
      <c r="C136" s="75"/>
      <c r="D136" s="75"/>
      <c r="E136" s="75"/>
      <c r="F136" s="75"/>
      <c r="G136" s="75"/>
      <c r="H136" s="75"/>
    </row>
    <row r="137" spans="1:8">
      <c r="A137" s="74"/>
      <c r="B137" s="75"/>
      <c r="C137" s="75"/>
      <c r="D137" s="75"/>
      <c r="E137" s="75"/>
      <c r="F137" s="75"/>
      <c r="G137" s="75"/>
      <c r="H137" s="75"/>
    </row>
    <row r="138" spans="1:8">
      <c r="A138" s="74"/>
      <c r="B138" s="75"/>
      <c r="C138" s="75"/>
      <c r="D138" s="75"/>
      <c r="E138" s="75"/>
      <c r="F138" s="75"/>
      <c r="G138" s="75"/>
      <c r="H138" s="75"/>
    </row>
    <row r="139" spans="1:8">
      <c r="A139" s="73"/>
      <c r="B139" s="268"/>
      <c r="C139" s="268"/>
      <c r="D139" s="268"/>
      <c r="E139" s="268"/>
      <c r="F139" s="268"/>
      <c r="G139" s="268"/>
      <c r="H139" s="268"/>
    </row>
    <row r="140" spans="1:8">
      <c r="A140" s="73" t="s">
        <v>444</v>
      </c>
    </row>
    <row r="141" spans="1:8">
      <c r="A141" t="s">
        <v>527</v>
      </c>
      <c r="B141" s="22">
        <f t="shared" ref="B141:C143" si="20">(B124*100)</f>
        <v>0</v>
      </c>
      <c r="C141" s="22">
        <f t="shared" si="20"/>
        <v>0</v>
      </c>
      <c r="D141" s="22">
        <f t="shared" ref="D141:H141" si="21">(D124*100)</f>
        <v>0</v>
      </c>
      <c r="E141" s="22">
        <f t="shared" si="21"/>
        <v>0</v>
      </c>
      <c r="F141" s="22">
        <f t="shared" si="21"/>
        <v>0</v>
      </c>
      <c r="G141" s="22">
        <f t="shared" si="21"/>
        <v>0</v>
      </c>
      <c r="H141" s="22">
        <f t="shared" si="21"/>
        <v>0</v>
      </c>
    </row>
    <row r="142" spans="1:8">
      <c r="A142" t="s">
        <v>528</v>
      </c>
      <c r="B142" s="22">
        <f t="shared" si="20"/>
        <v>0</v>
      </c>
      <c r="C142" s="22">
        <f t="shared" si="20"/>
        <v>0</v>
      </c>
      <c r="D142" s="22">
        <f t="shared" ref="D142:H142" si="22">(D125*100)</f>
        <v>0</v>
      </c>
      <c r="E142" s="22">
        <f t="shared" si="22"/>
        <v>0</v>
      </c>
      <c r="F142" s="22">
        <f t="shared" si="22"/>
        <v>0</v>
      </c>
      <c r="G142" s="22">
        <f t="shared" si="22"/>
        <v>0</v>
      </c>
      <c r="H142" s="22">
        <f t="shared" si="22"/>
        <v>0</v>
      </c>
    </row>
    <row r="143" spans="1:8">
      <c r="A143" t="s">
        <v>529</v>
      </c>
      <c r="B143" s="22">
        <f t="shared" si="20"/>
        <v>0</v>
      </c>
      <c r="C143" s="22">
        <f t="shared" si="20"/>
        <v>0</v>
      </c>
      <c r="D143" s="22">
        <f t="shared" ref="D143:H143" si="23">(D126*100)</f>
        <v>0</v>
      </c>
      <c r="E143" s="22">
        <f t="shared" si="23"/>
        <v>0</v>
      </c>
      <c r="F143" s="22">
        <f t="shared" si="23"/>
        <v>0</v>
      </c>
      <c r="G143" s="22">
        <f t="shared" si="23"/>
        <v>0</v>
      </c>
      <c r="H143" s="22">
        <f t="shared" si="23"/>
        <v>0</v>
      </c>
    </row>
    <row r="145" spans="1:10">
      <c r="B145" s="22"/>
      <c r="C145" s="22"/>
    </row>
    <row r="146" spans="1:10">
      <c r="B146" s="22"/>
      <c r="C146" s="22"/>
      <c r="D146" s="22"/>
    </row>
    <row r="147" spans="1:10" ht="18.75">
      <c r="A147" s="368" t="s">
        <v>598</v>
      </c>
      <c r="B147" s="368"/>
      <c r="C147" s="368"/>
      <c r="D147" s="368"/>
      <c r="E147" s="368"/>
      <c r="F147" s="368"/>
      <c r="G147" s="368"/>
      <c r="H147" s="368"/>
      <c r="I147" s="368"/>
      <c r="J147" s="368"/>
    </row>
    <row r="148" spans="1:10">
      <c r="A148" s="12"/>
      <c r="B148" s="12"/>
      <c r="C148" s="12"/>
      <c r="D148" s="12"/>
      <c r="E148" s="12"/>
      <c r="F148" s="12"/>
      <c r="G148" s="12"/>
      <c r="H148" s="12"/>
    </row>
    <row r="149" spans="1:10">
      <c r="A149" s="163"/>
      <c r="B149" s="163"/>
      <c r="C149" s="163"/>
      <c r="D149" s="164">
        <v>0.9</v>
      </c>
      <c r="E149" s="165">
        <v>0.95</v>
      </c>
      <c r="F149" s="165">
        <v>1</v>
      </c>
      <c r="G149" s="165">
        <v>1</v>
      </c>
      <c r="H149" s="165">
        <v>1</v>
      </c>
      <c r="I149" s="165">
        <v>1</v>
      </c>
      <c r="J149" s="165">
        <v>1</v>
      </c>
    </row>
    <row r="150" spans="1:10">
      <c r="A150" s="73"/>
      <c r="B150" s="73"/>
      <c r="C150" s="73"/>
      <c r="D150" s="73"/>
      <c r="E150" s="73"/>
      <c r="F150" s="73"/>
      <c r="G150" s="73"/>
      <c r="H150" s="73"/>
      <c r="I150" s="73"/>
      <c r="J150" s="73"/>
    </row>
    <row r="151" spans="1:10">
      <c r="A151" s="125" t="s">
        <v>0</v>
      </c>
      <c r="B151" s="125" t="s">
        <v>132</v>
      </c>
      <c r="C151" s="125" t="s">
        <v>152</v>
      </c>
      <c r="D151" s="97" t="s">
        <v>2</v>
      </c>
      <c r="E151" s="97" t="s">
        <v>3</v>
      </c>
      <c r="F151" s="97" t="s">
        <v>4</v>
      </c>
      <c r="G151" s="97" t="s">
        <v>5</v>
      </c>
      <c r="H151" s="97" t="s">
        <v>6</v>
      </c>
      <c r="I151" s="97" t="s">
        <v>168</v>
      </c>
      <c r="J151" s="97" t="s">
        <v>167</v>
      </c>
    </row>
    <row r="152" spans="1:10">
      <c r="A152" s="74"/>
      <c r="B152" s="74"/>
      <c r="C152" s="74"/>
      <c r="D152" s="74"/>
      <c r="E152" s="74"/>
      <c r="F152" s="74"/>
      <c r="G152" s="74"/>
      <c r="H152" s="74"/>
      <c r="I152" s="74"/>
      <c r="J152" s="74"/>
    </row>
    <row r="153" spans="1:10">
      <c r="A153" s="76" t="s">
        <v>127</v>
      </c>
      <c r="B153" s="76"/>
      <c r="C153" s="76"/>
      <c r="D153" s="91"/>
      <c r="E153" s="91"/>
      <c r="F153" s="91"/>
      <c r="G153" s="91"/>
      <c r="H153" s="91"/>
      <c r="I153" s="74"/>
      <c r="J153" s="74"/>
    </row>
    <row r="154" spans="1:10">
      <c r="A154" s="74" t="str">
        <f>A124</f>
        <v>Pomegranate Arils</v>
      </c>
      <c r="B154" s="202" t="s">
        <v>526</v>
      </c>
      <c r="C154" s="202">
        <v>200</v>
      </c>
      <c r="D154" s="75">
        <f>(B141*(1-'5.Closing Stock &amp; W Capital'!$D$18)*$C154*D$149)</f>
        <v>0</v>
      </c>
      <c r="E154" s="75">
        <f>(((C141*(1-'5.Closing Stock &amp; W Capital'!$D$18))+(B141*'5.Closing Stock &amp; W Capital'!$D$18))*$C154*E$149)</f>
        <v>0</v>
      </c>
      <c r="F154" s="75">
        <f>(((D141*(1-'5.Closing Stock &amp; W Capital'!$D$18))+(C141*'5.Closing Stock &amp; W Capital'!$D$18))*$C154*F$149)</f>
        <v>0</v>
      </c>
      <c r="G154" s="75">
        <f>(((E141*(1-'5.Closing Stock &amp; W Capital'!$D$18))+(D141*'5.Closing Stock &amp; W Capital'!$D$18))*$C154*G$149)</f>
        <v>0</v>
      </c>
      <c r="H154" s="75">
        <f>(((F141*(1-'5.Closing Stock &amp; W Capital'!$D$18))+(E141*'5.Closing Stock &amp; W Capital'!$D$18))*$C154*H$149)</f>
        <v>0</v>
      </c>
      <c r="I154" s="75">
        <f>(((G141*(1-'5.Closing Stock &amp; W Capital'!$D$18))+(F141*'5.Closing Stock &amp; W Capital'!$D$18))*$C154*I$149)</f>
        <v>0</v>
      </c>
      <c r="J154" s="75">
        <f>(((H141*(1-'5.Closing Stock &amp; W Capital'!$D$18))+(G141*'5.Closing Stock &amp; W Capital'!$D$18))*$C154*J$149)</f>
        <v>0</v>
      </c>
    </row>
    <row r="155" spans="1:10">
      <c r="A155" s="74" t="str">
        <f>A125</f>
        <v>Pomegranate Juice</v>
      </c>
      <c r="B155" s="202" t="s">
        <v>525</v>
      </c>
      <c r="C155" s="202">
        <v>50</v>
      </c>
      <c r="D155" s="75">
        <f>(B142*(1-'5.Closing Stock &amp; W Capital'!$D$18)*$C155*D$149)</f>
        <v>0</v>
      </c>
      <c r="E155" s="75">
        <f>(((C142*(1-'5.Closing Stock &amp; W Capital'!$D$18))+(B142*'5.Closing Stock &amp; W Capital'!$D$18))*$C155*E$149)</f>
        <v>0</v>
      </c>
      <c r="F155" s="75">
        <f>(((D142*(1-'5.Closing Stock &amp; W Capital'!$D$18))+(C142*'5.Closing Stock &amp; W Capital'!$D$18))*$C155*F$149)</f>
        <v>0</v>
      </c>
      <c r="G155" s="75">
        <f>(((E142*(1-'5.Closing Stock &amp; W Capital'!$D$18))+(D142*'5.Closing Stock &amp; W Capital'!$D$18))*$C155*G$149)</f>
        <v>0</v>
      </c>
      <c r="H155" s="75">
        <f>(((F142*(1-'5.Closing Stock &amp; W Capital'!$D$18))+(E142*'5.Closing Stock &amp; W Capital'!$D$18))*$C155*H$149)</f>
        <v>0</v>
      </c>
      <c r="I155" s="75">
        <f>(((G142*(1-'5.Closing Stock &amp; W Capital'!$D$18))+(F142*'5.Closing Stock &amp; W Capital'!$D$18))*$C155*I$149)</f>
        <v>0</v>
      </c>
      <c r="J155" s="75">
        <f>(((H142*(1-'5.Closing Stock &amp; W Capital'!$D$18))+(G142*'5.Closing Stock &amp; W Capital'!$D$18))*$C155*J$149)</f>
        <v>0</v>
      </c>
    </row>
    <row r="156" spans="1:10">
      <c r="A156" s="74" t="str">
        <f>A126</f>
        <v>Pomegranate Powder</v>
      </c>
      <c r="B156" s="202" t="s">
        <v>362</v>
      </c>
      <c r="C156" s="202">
        <v>50</v>
      </c>
      <c r="D156" s="75">
        <f>(B143*(1-'5.Closing Stock &amp; W Capital'!$D$18)*$C156*D$149)</f>
        <v>0</v>
      </c>
      <c r="E156" s="75">
        <f>(((C143*(1-'5.Closing Stock &amp; W Capital'!$D$18))+(B143*'5.Closing Stock &amp; W Capital'!$D$18))*$C156*E$149)</f>
        <v>0</v>
      </c>
      <c r="F156" s="75">
        <f>(((D143*(1-'5.Closing Stock &amp; W Capital'!$D$18))+(C143*'5.Closing Stock &amp; W Capital'!$D$18))*$C156*F$149)</f>
        <v>0</v>
      </c>
      <c r="G156" s="75">
        <f>(((E143*(1-'5.Closing Stock &amp; W Capital'!$D$18))+(D143*'5.Closing Stock &amp; W Capital'!$D$18))*$C156*G$149)</f>
        <v>0</v>
      </c>
      <c r="H156" s="75">
        <f>(((F143*(1-'5.Closing Stock &amp; W Capital'!$D$18))+(E143*'5.Closing Stock &amp; W Capital'!$D$18))*$C156*H$149)</f>
        <v>0</v>
      </c>
      <c r="I156" s="75">
        <f>(((G143*(1-'5.Closing Stock &amp; W Capital'!$D$18))+(F143*'5.Closing Stock &amp; W Capital'!$D$18))*$C156*I$149)</f>
        <v>0</v>
      </c>
      <c r="J156" s="75">
        <f>(((H143*(1-'5.Closing Stock &amp; W Capital'!$D$18))+(G143*'5.Closing Stock &amp; W Capital'!$D$18))*$C156*J$149)</f>
        <v>0</v>
      </c>
    </row>
    <row r="157" spans="1:10">
      <c r="A157" s="74"/>
      <c r="B157" s="202"/>
      <c r="C157" s="202"/>
      <c r="D157" s="75"/>
      <c r="E157" s="75"/>
      <c r="F157" s="75"/>
      <c r="G157" s="75"/>
      <c r="H157" s="75"/>
      <c r="I157" s="75"/>
      <c r="J157" s="75"/>
    </row>
    <row r="158" spans="1:10">
      <c r="A158" s="74"/>
      <c r="B158" s="74"/>
      <c r="C158" s="74"/>
      <c r="D158" s="75"/>
      <c r="E158" s="75"/>
      <c r="F158" s="75"/>
      <c r="G158" s="75"/>
      <c r="H158" s="75"/>
      <c r="I158" s="75"/>
      <c r="J158" s="75"/>
    </row>
    <row r="159" spans="1:10">
      <c r="A159" s="76" t="s">
        <v>127</v>
      </c>
      <c r="B159" s="76"/>
      <c r="C159" s="76"/>
      <c r="D159" s="92">
        <f>SUM(D154:D158)</f>
        <v>0</v>
      </c>
      <c r="E159" s="92">
        <f t="shared" ref="E159:J159" si="24">SUM(E154:E158)</f>
        <v>0</v>
      </c>
      <c r="F159" s="92">
        <f t="shared" si="24"/>
        <v>0</v>
      </c>
      <c r="G159" s="92">
        <f t="shared" si="24"/>
        <v>0</v>
      </c>
      <c r="H159" s="92">
        <f t="shared" si="24"/>
        <v>0</v>
      </c>
      <c r="I159" s="92">
        <f t="shared" si="24"/>
        <v>0</v>
      </c>
      <c r="J159" s="92">
        <f t="shared" si="24"/>
        <v>0</v>
      </c>
    </row>
    <row r="160" spans="1:10">
      <c r="A160" s="74"/>
      <c r="B160" s="74"/>
      <c r="C160" s="74"/>
      <c r="D160" s="75"/>
      <c r="E160" s="75"/>
      <c r="F160" s="75"/>
      <c r="G160" s="75"/>
      <c r="H160" s="75"/>
      <c r="I160" s="75"/>
      <c r="J160" s="75"/>
    </row>
    <row r="161" spans="1:10">
      <c r="A161" s="76" t="s">
        <v>142</v>
      </c>
      <c r="B161" s="76"/>
      <c r="C161" s="76"/>
      <c r="D161" s="75"/>
      <c r="E161" s="75"/>
      <c r="F161" s="75"/>
      <c r="G161" s="75"/>
      <c r="H161" s="75"/>
      <c r="I161" s="75"/>
      <c r="J161" s="75"/>
    </row>
    <row r="162" spans="1:10">
      <c r="A162" s="76" t="s">
        <v>308</v>
      </c>
      <c r="B162" s="76"/>
      <c r="C162" s="74"/>
      <c r="D162" s="75"/>
      <c r="E162" s="75"/>
      <c r="F162" s="75"/>
      <c r="G162" s="75"/>
      <c r="H162" s="75"/>
      <c r="I162" s="75"/>
      <c r="J162" s="75"/>
    </row>
    <row r="163" spans="1:10">
      <c r="A163" s="74" t="s">
        <v>530</v>
      </c>
      <c r="B163" s="202" t="s">
        <v>363</v>
      </c>
      <c r="C163" s="226">
        <v>6000</v>
      </c>
      <c r="D163" s="75">
        <f>B62*$C163*D$149</f>
        <v>0</v>
      </c>
      <c r="E163" s="75">
        <f>C62*$C163*E$149</f>
        <v>0</v>
      </c>
      <c r="F163" s="75">
        <f t="shared" ref="F163:J163" si="25">D62*$C163*F$149</f>
        <v>0</v>
      </c>
      <c r="G163" s="75">
        <f t="shared" si="25"/>
        <v>0</v>
      </c>
      <c r="H163" s="75">
        <f t="shared" si="25"/>
        <v>0</v>
      </c>
      <c r="I163" s="75">
        <f t="shared" si="25"/>
        <v>0</v>
      </c>
      <c r="J163" s="75">
        <f t="shared" si="25"/>
        <v>0</v>
      </c>
    </row>
    <row r="164" spans="1:10">
      <c r="A164" s="74" t="s">
        <v>531</v>
      </c>
      <c r="B164" s="202" t="s">
        <v>363</v>
      </c>
      <c r="C164" s="202">
        <v>2000</v>
      </c>
      <c r="D164" s="75">
        <f>(B62*10%)*$C164*D$149</f>
        <v>0</v>
      </c>
      <c r="E164" s="75">
        <f t="shared" ref="E164:J164" si="26">(C62*10%)*$C164*E$149</f>
        <v>0</v>
      </c>
      <c r="F164" s="75">
        <f t="shared" si="26"/>
        <v>0</v>
      </c>
      <c r="G164" s="75">
        <f t="shared" si="26"/>
        <v>0</v>
      </c>
      <c r="H164" s="75">
        <f t="shared" si="26"/>
        <v>0</v>
      </c>
      <c r="I164" s="75">
        <f t="shared" si="26"/>
        <v>0</v>
      </c>
      <c r="J164" s="75">
        <f t="shared" si="26"/>
        <v>0</v>
      </c>
    </row>
    <row r="165" spans="1:10">
      <c r="A165" s="74" t="s">
        <v>318</v>
      </c>
      <c r="B165" s="202">
        <v>5</v>
      </c>
      <c r="C165" s="202">
        <v>300</v>
      </c>
      <c r="D165" s="75">
        <f t="shared" ref="D165:J165" si="27">B12*$B$165*$C$165*D149</f>
        <v>0</v>
      </c>
      <c r="E165" s="75">
        <f t="shared" si="27"/>
        <v>0</v>
      </c>
      <c r="F165" s="75">
        <f t="shared" si="27"/>
        <v>0</v>
      </c>
      <c r="G165" s="75">
        <f t="shared" si="27"/>
        <v>0</v>
      </c>
      <c r="H165" s="75">
        <f t="shared" si="27"/>
        <v>0</v>
      </c>
      <c r="I165" s="75">
        <f t="shared" si="27"/>
        <v>0</v>
      </c>
      <c r="J165" s="75">
        <f t="shared" si="27"/>
        <v>0</v>
      </c>
    </row>
    <row r="166" spans="1:10">
      <c r="A166" s="74" t="s">
        <v>144</v>
      </c>
      <c r="B166" s="74">
        <f>'2.Capex Details'!H63*0.746*8</f>
        <v>119.36</v>
      </c>
      <c r="C166" s="202">
        <v>8</v>
      </c>
      <c r="D166" s="75">
        <f t="shared" ref="D166:J166" si="28">$B$166*$C$166*B12*D149</f>
        <v>0</v>
      </c>
      <c r="E166" s="75">
        <f t="shared" si="28"/>
        <v>0</v>
      </c>
      <c r="F166" s="75">
        <f t="shared" si="28"/>
        <v>0</v>
      </c>
      <c r="G166" s="75">
        <f t="shared" si="28"/>
        <v>0</v>
      </c>
      <c r="H166" s="75">
        <f t="shared" si="28"/>
        <v>0</v>
      </c>
      <c r="I166" s="75">
        <f t="shared" si="28"/>
        <v>0</v>
      </c>
      <c r="J166" s="75">
        <f t="shared" si="28"/>
        <v>0</v>
      </c>
    </row>
    <row r="167" spans="1:10">
      <c r="A167" s="74" t="s">
        <v>291</v>
      </c>
      <c r="B167" s="74" t="s">
        <v>363</v>
      </c>
      <c r="C167" s="202">
        <v>10</v>
      </c>
      <c r="D167" s="75">
        <f>B62*$C167*D$149</f>
        <v>0</v>
      </c>
      <c r="E167" s="75">
        <f t="shared" ref="E167:J167" si="29">C62*$C167*E$149</f>
        <v>0</v>
      </c>
      <c r="F167" s="75">
        <f t="shared" si="29"/>
        <v>0</v>
      </c>
      <c r="G167" s="75">
        <f t="shared" si="29"/>
        <v>0</v>
      </c>
      <c r="H167" s="75">
        <f t="shared" si="29"/>
        <v>0</v>
      </c>
      <c r="I167" s="75">
        <f t="shared" si="29"/>
        <v>0</v>
      </c>
      <c r="J167" s="75">
        <f t="shared" si="29"/>
        <v>0</v>
      </c>
    </row>
    <row r="168" spans="1:10">
      <c r="A168" s="86" t="s">
        <v>292</v>
      </c>
      <c r="B168" s="86"/>
      <c r="C168" s="228">
        <v>2</v>
      </c>
      <c r="D168" s="75">
        <f>SUM(B141:B143)*$C$168*D$149</f>
        <v>0</v>
      </c>
      <c r="E168" s="75">
        <f t="shared" ref="E168:J168" si="30">SUM(C141:C143)*$C$168*E$149</f>
        <v>0</v>
      </c>
      <c r="F168" s="75">
        <f t="shared" si="30"/>
        <v>0</v>
      </c>
      <c r="G168" s="75">
        <f t="shared" si="30"/>
        <v>0</v>
      </c>
      <c r="H168" s="75">
        <f t="shared" si="30"/>
        <v>0</v>
      </c>
      <c r="I168" s="75">
        <f t="shared" si="30"/>
        <v>0</v>
      </c>
      <c r="J168" s="75">
        <f t="shared" si="30"/>
        <v>0</v>
      </c>
    </row>
    <row r="169" spans="1:10">
      <c r="A169" s="74" t="s">
        <v>293</v>
      </c>
      <c r="B169" s="74"/>
      <c r="C169" s="202">
        <v>1</v>
      </c>
      <c r="D169" s="75">
        <f>SUM(B141:B143)*$C$169*D$149</f>
        <v>0</v>
      </c>
      <c r="E169" s="75">
        <f t="shared" ref="E169:J169" si="31">SUM(C141:C143)*$C$169*E$149</f>
        <v>0</v>
      </c>
      <c r="F169" s="75">
        <f t="shared" si="31"/>
        <v>0</v>
      </c>
      <c r="G169" s="75">
        <f t="shared" si="31"/>
        <v>0</v>
      </c>
      <c r="H169" s="75">
        <f t="shared" si="31"/>
        <v>0</v>
      </c>
      <c r="I169" s="75">
        <f t="shared" si="31"/>
        <v>0</v>
      </c>
      <c r="J169" s="75">
        <f t="shared" si="31"/>
        <v>0</v>
      </c>
    </row>
    <row r="170" spans="1:10">
      <c r="A170" s="9"/>
      <c r="B170" s="9"/>
      <c r="C170" s="9"/>
      <c r="D170" s="9"/>
      <c r="E170" s="9"/>
      <c r="F170" s="9"/>
      <c r="G170" s="9"/>
      <c r="H170" s="9"/>
      <c r="I170" s="9"/>
      <c r="J170" s="9"/>
    </row>
    <row r="171" spans="1:10">
      <c r="A171" s="9"/>
      <c r="B171" s="9"/>
      <c r="C171" s="9"/>
      <c r="D171" s="9"/>
      <c r="E171" s="9"/>
      <c r="F171" s="9"/>
      <c r="G171" s="9"/>
      <c r="H171" s="9"/>
      <c r="I171" s="9"/>
      <c r="J171" s="9"/>
    </row>
    <row r="172" spans="1:10">
      <c r="A172" s="9"/>
      <c r="B172" s="9"/>
      <c r="C172" s="9"/>
      <c r="D172" s="9"/>
      <c r="E172" s="9"/>
      <c r="F172" s="9"/>
      <c r="G172" s="9"/>
      <c r="H172" s="9"/>
      <c r="I172" s="9"/>
      <c r="J172" s="9"/>
    </row>
    <row r="173" spans="1:10">
      <c r="A173" s="9"/>
      <c r="B173" s="9"/>
      <c r="C173" s="9"/>
      <c r="D173" s="9"/>
      <c r="E173" s="9"/>
      <c r="F173" s="9"/>
      <c r="G173" s="9"/>
      <c r="H173" s="9"/>
      <c r="I173" s="9"/>
      <c r="J173" s="9"/>
    </row>
    <row r="174" spans="1:10">
      <c r="A174" s="166" t="s">
        <v>343</v>
      </c>
      <c r="B174" s="75"/>
      <c r="C174" s="75"/>
      <c r="D174" s="75"/>
      <c r="E174" s="75">
        <v>0</v>
      </c>
      <c r="F174" s="75">
        <v>0</v>
      </c>
      <c r="G174" s="75">
        <v>0</v>
      </c>
      <c r="H174" s="75">
        <v>0</v>
      </c>
      <c r="I174" s="75">
        <v>0</v>
      </c>
      <c r="J174" s="75">
        <v>0</v>
      </c>
    </row>
    <row r="175" spans="1:10">
      <c r="A175" s="166" t="s">
        <v>344</v>
      </c>
      <c r="B175" s="75"/>
      <c r="C175" s="75"/>
      <c r="D175" s="75">
        <v>0</v>
      </c>
      <c r="E175" s="75">
        <v>0</v>
      </c>
      <c r="F175" s="75">
        <v>0</v>
      </c>
      <c r="G175" s="75">
        <v>0</v>
      </c>
      <c r="H175" s="75">
        <v>0</v>
      </c>
      <c r="I175" s="75">
        <v>0</v>
      </c>
      <c r="J175" s="75">
        <v>0</v>
      </c>
    </row>
    <row r="176" spans="1:10">
      <c r="A176" s="75"/>
      <c r="B176" s="75"/>
      <c r="C176" s="75"/>
      <c r="D176" s="75"/>
      <c r="E176" s="75"/>
      <c r="F176" s="75"/>
      <c r="G176" s="75"/>
      <c r="H176" s="75"/>
      <c r="I176" s="75"/>
      <c r="J176" s="75"/>
    </row>
    <row r="177" spans="1:10">
      <c r="A177" s="92" t="s">
        <v>319</v>
      </c>
      <c r="B177" s="75"/>
      <c r="C177" s="75"/>
      <c r="D177" s="92">
        <f t="shared" ref="D177:J177" si="32">SUM(D163:D174)-D175</f>
        <v>0</v>
      </c>
      <c r="E177" s="92">
        <f t="shared" si="32"/>
        <v>0</v>
      </c>
      <c r="F177" s="92">
        <f t="shared" si="32"/>
        <v>0</v>
      </c>
      <c r="G177" s="92">
        <f t="shared" si="32"/>
        <v>0</v>
      </c>
      <c r="H177" s="92">
        <f t="shared" si="32"/>
        <v>0</v>
      </c>
      <c r="I177" s="92">
        <f t="shared" si="32"/>
        <v>0</v>
      </c>
      <c r="J177" s="92">
        <f t="shared" si="32"/>
        <v>0</v>
      </c>
    </row>
    <row r="178" spans="1:10">
      <c r="A178" s="73"/>
      <c r="B178" s="73"/>
      <c r="C178" s="73"/>
      <c r="D178" s="73"/>
      <c r="E178" s="73"/>
      <c r="F178" s="73"/>
      <c r="G178" s="73"/>
      <c r="H178" s="73"/>
      <c r="I178" s="73"/>
      <c r="J178" s="73"/>
    </row>
    <row r="179" spans="1:10">
      <c r="A179" s="167" t="s">
        <v>306</v>
      </c>
      <c r="B179" s="167"/>
      <c r="C179" s="167"/>
      <c r="D179" s="92"/>
      <c r="E179" s="92"/>
      <c r="F179" s="92"/>
      <c r="G179" s="92"/>
      <c r="H179" s="92"/>
      <c r="I179" s="92"/>
      <c r="J179" s="92"/>
    </row>
    <row r="180" spans="1:10">
      <c r="A180" s="74" t="s">
        <v>185</v>
      </c>
      <c r="B180" s="202">
        <v>1</v>
      </c>
      <c r="C180" s="226"/>
      <c r="D180" s="75">
        <f t="shared" ref="D180:J180" si="33">$B$180*$C$180*12*D149</f>
        <v>0</v>
      </c>
      <c r="E180" s="75">
        <f t="shared" si="33"/>
        <v>0</v>
      </c>
      <c r="F180" s="75">
        <f t="shared" si="33"/>
        <v>0</v>
      </c>
      <c r="G180" s="75">
        <f t="shared" si="33"/>
        <v>0</v>
      </c>
      <c r="H180" s="75">
        <f t="shared" si="33"/>
        <v>0</v>
      </c>
      <c r="I180" s="75">
        <f t="shared" si="33"/>
        <v>0</v>
      </c>
      <c r="J180" s="75">
        <f t="shared" si="33"/>
        <v>0</v>
      </c>
    </row>
    <row r="181" spans="1:10">
      <c r="A181" s="74" t="s">
        <v>190</v>
      </c>
      <c r="B181" s="202">
        <v>2</v>
      </c>
      <c r="C181" s="226"/>
      <c r="D181" s="75">
        <f t="shared" ref="D181:J181" si="34">$B$181*$C$181*12*D149</f>
        <v>0</v>
      </c>
      <c r="E181" s="75">
        <f t="shared" si="34"/>
        <v>0</v>
      </c>
      <c r="F181" s="75">
        <f t="shared" si="34"/>
        <v>0</v>
      </c>
      <c r="G181" s="75">
        <f t="shared" si="34"/>
        <v>0</v>
      </c>
      <c r="H181" s="75">
        <f t="shared" si="34"/>
        <v>0</v>
      </c>
      <c r="I181" s="75">
        <f t="shared" si="34"/>
        <v>0</v>
      </c>
      <c r="J181" s="75">
        <f t="shared" si="34"/>
        <v>0</v>
      </c>
    </row>
    <row r="182" spans="1:10">
      <c r="A182" s="74"/>
      <c r="B182" s="202"/>
      <c r="C182" s="226"/>
      <c r="D182" s="75"/>
      <c r="E182" s="75"/>
      <c r="F182" s="75"/>
      <c r="G182" s="75"/>
      <c r="H182" s="75"/>
      <c r="I182" s="75"/>
      <c r="J182" s="75"/>
    </row>
    <row r="183" spans="1:10">
      <c r="A183" s="74"/>
      <c r="B183" s="202"/>
      <c r="C183" s="226"/>
      <c r="D183" s="75"/>
      <c r="E183" s="75"/>
      <c r="F183" s="75"/>
      <c r="G183" s="75"/>
      <c r="H183" s="75"/>
      <c r="I183" s="75"/>
      <c r="J183" s="75"/>
    </row>
    <row r="184" spans="1:10">
      <c r="A184" s="74"/>
      <c r="B184" s="202"/>
      <c r="C184" s="226"/>
      <c r="D184" s="75"/>
      <c r="E184" s="75"/>
      <c r="F184" s="75"/>
      <c r="G184" s="75"/>
      <c r="H184" s="75"/>
      <c r="I184" s="75"/>
      <c r="J184" s="75"/>
    </row>
    <row r="185" spans="1:10">
      <c r="A185" s="76" t="s">
        <v>306</v>
      </c>
      <c r="B185" s="76"/>
      <c r="C185" s="76"/>
      <c r="D185" s="92">
        <f>SUM(D180:D184)</f>
        <v>0</v>
      </c>
      <c r="E185" s="92">
        <f t="shared" ref="E185:J185" si="35">SUM(E180:E184)</f>
        <v>0</v>
      </c>
      <c r="F185" s="92">
        <f t="shared" si="35"/>
        <v>0</v>
      </c>
      <c r="G185" s="92">
        <f t="shared" si="35"/>
        <v>0</v>
      </c>
      <c r="H185" s="92">
        <f t="shared" si="35"/>
        <v>0</v>
      </c>
      <c r="I185" s="92">
        <f t="shared" si="35"/>
        <v>0</v>
      </c>
      <c r="J185" s="92">
        <f t="shared" si="35"/>
        <v>0</v>
      </c>
    </row>
    <row r="186" spans="1:10">
      <c r="A186" s="167" t="s">
        <v>294</v>
      </c>
      <c r="B186" s="167"/>
      <c r="C186" s="167"/>
      <c r="D186" s="92">
        <f>D177+D185</f>
        <v>0</v>
      </c>
      <c r="E186" s="92">
        <f t="shared" ref="E186:J186" si="36">E177+E185</f>
        <v>0</v>
      </c>
      <c r="F186" s="92">
        <f t="shared" si="36"/>
        <v>0</v>
      </c>
      <c r="G186" s="92">
        <f t="shared" si="36"/>
        <v>0</v>
      </c>
      <c r="H186" s="92">
        <f t="shared" si="36"/>
        <v>0</v>
      </c>
      <c r="I186" s="92">
        <f t="shared" si="36"/>
        <v>0</v>
      </c>
      <c r="J186" s="92">
        <f t="shared" si="36"/>
        <v>0</v>
      </c>
    </row>
    <row r="187" spans="1:10">
      <c r="A187" s="74"/>
      <c r="B187" s="74"/>
      <c r="C187" s="74"/>
      <c r="D187" s="75"/>
      <c r="E187" s="75"/>
      <c r="F187" s="75"/>
      <c r="G187" s="75"/>
      <c r="H187" s="75"/>
      <c r="I187" s="75"/>
      <c r="J187" s="75"/>
    </row>
    <row r="188" spans="1:10">
      <c r="A188" s="76" t="s">
        <v>7</v>
      </c>
      <c r="B188" s="76"/>
      <c r="C188" s="76"/>
      <c r="D188" s="92">
        <f t="shared" ref="D188:J188" si="37">D159-D186</f>
        <v>0</v>
      </c>
      <c r="E188" s="92">
        <f t="shared" si="37"/>
        <v>0</v>
      </c>
      <c r="F188" s="92">
        <f t="shared" si="37"/>
        <v>0</v>
      </c>
      <c r="G188" s="92">
        <f t="shared" si="37"/>
        <v>0</v>
      </c>
      <c r="H188" s="92">
        <f t="shared" si="37"/>
        <v>0</v>
      </c>
      <c r="I188" s="92">
        <f t="shared" si="37"/>
        <v>0</v>
      </c>
      <c r="J188" s="92">
        <f t="shared" si="37"/>
        <v>0</v>
      </c>
    </row>
    <row r="189" spans="1:10">
      <c r="A189" s="93"/>
      <c r="B189" s="93"/>
      <c r="C189" s="93"/>
      <c r="D189" s="73"/>
      <c r="E189" s="73"/>
      <c r="F189" s="73"/>
      <c r="G189" s="73"/>
      <c r="H189" s="73"/>
      <c r="I189" s="73"/>
      <c r="J189" s="73"/>
    </row>
    <row r="190" spans="1:10">
      <c r="A190" s="73"/>
      <c r="B190" s="73"/>
      <c r="C190" s="73"/>
      <c r="D190" s="73"/>
      <c r="E190" s="73"/>
      <c r="F190" s="73"/>
      <c r="G190" s="73"/>
      <c r="H190" s="73"/>
      <c r="I190" s="73"/>
      <c r="J190" s="73"/>
    </row>
    <row r="191" spans="1:10">
      <c r="A191" s="73"/>
      <c r="B191" s="73"/>
      <c r="C191" s="73"/>
      <c r="D191" s="73"/>
      <c r="E191" s="73"/>
      <c r="F191" s="73"/>
      <c r="G191" s="73"/>
      <c r="H191" s="73"/>
      <c r="I191" s="73"/>
      <c r="J191" s="73"/>
    </row>
    <row r="192" spans="1:10">
      <c r="A192" s="370" t="s">
        <v>421</v>
      </c>
      <c r="B192" s="370"/>
      <c r="C192" s="370"/>
      <c r="D192" s="370"/>
      <c r="E192" s="370"/>
      <c r="F192" s="370"/>
      <c r="G192" s="370"/>
      <c r="H192" s="370"/>
      <c r="I192" s="370"/>
      <c r="J192" s="370"/>
    </row>
    <row r="194" spans="1:5">
      <c r="A194" t="s">
        <v>537</v>
      </c>
    </row>
    <row r="195" spans="1:5">
      <c r="A195">
        <v>1</v>
      </c>
      <c r="B195" t="s">
        <v>550</v>
      </c>
    </row>
    <row r="196" spans="1:5">
      <c r="A196">
        <v>2</v>
      </c>
      <c r="B196" t="s">
        <v>551</v>
      </c>
      <c r="C196" s="53"/>
      <c r="D196" s="53"/>
      <c r="E196" s="53"/>
    </row>
    <row r="197" spans="1:5">
      <c r="A197">
        <v>3</v>
      </c>
      <c r="B197" s="73" t="s">
        <v>601</v>
      </c>
    </row>
    <row r="199" spans="1:5">
      <c r="A199" t="s">
        <v>697</v>
      </c>
      <c r="B199" t="s">
        <v>699</v>
      </c>
    </row>
    <row r="200" spans="1:5">
      <c r="B200" t="s">
        <v>712</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2.xml><?xml version="1.0" encoding="utf-8"?>
<worksheet xmlns="http://schemas.openxmlformats.org/spreadsheetml/2006/main" xmlns:r="http://schemas.openxmlformats.org/officeDocument/2006/relationships">
  <dimension ref="A2:H33"/>
  <sheetViews>
    <sheetView tabSelected="1" view="pageBreakPreview" topLeftCell="A16" zoomScaleSheetLayoutView="100" workbookViewId="0">
      <selection activeCell="F33" sqref="F33"/>
    </sheetView>
  </sheetViews>
  <sheetFormatPr defaultRowHeight="15"/>
  <cols>
    <col min="2" max="2" width="7.5703125" bestFit="1" customWidth="1"/>
    <col min="3" max="3" width="26.28515625" bestFit="1" customWidth="1"/>
    <col min="4" max="4" width="15" customWidth="1"/>
    <col min="5" max="5" width="16" customWidth="1"/>
    <col min="6" max="6" width="24" customWidth="1"/>
    <col min="7" max="7" width="15.140625" customWidth="1"/>
    <col min="8" max="8" width="5.85546875" customWidth="1"/>
  </cols>
  <sheetData>
    <row r="2" spans="1:8" ht="18.75">
      <c r="B2" s="368" t="s">
        <v>554</v>
      </c>
      <c r="C2" s="368"/>
      <c r="D2" s="368"/>
      <c r="E2" s="368"/>
      <c r="F2" s="368"/>
    </row>
    <row r="4" spans="1:8">
      <c r="B4" s="299" t="s">
        <v>145</v>
      </c>
      <c r="C4" s="299" t="s">
        <v>128</v>
      </c>
      <c r="D4" s="299" t="s">
        <v>157</v>
      </c>
      <c r="E4" s="304" t="s">
        <v>461</v>
      </c>
      <c r="F4" s="304" t="s">
        <v>462</v>
      </c>
    </row>
    <row r="5" spans="1:8">
      <c r="B5" s="300">
        <v>1</v>
      </c>
      <c r="C5" s="301" t="str">
        <f>'2.Capex Details'!B2</f>
        <v>Land and Building</v>
      </c>
      <c r="D5" s="305">
        <f>'2.Capex Details'!G12</f>
        <v>13436807.994199999</v>
      </c>
      <c r="E5" s="306">
        <v>0.6</v>
      </c>
      <c r="F5" s="307">
        <f>D5*E5</f>
        <v>8062084.7965199985</v>
      </c>
    </row>
    <row r="6" spans="1:8">
      <c r="B6" s="300">
        <v>2</v>
      </c>
      <c r="C6" s="301" t="str">
        <f>'2.Capex Details'!B17</f>
        <v>Machinery and Equipment</v>
      </c>
      <c r="D6" s="305">
        <f>'2.Capex Details'!G65</f>
        <v>9890500</v>
      </c>
      <c r="E6" s="306">
        <v>0.6</v>
      </c>
      <c r="F6" s="307">
        <f t="shared" ref="F6:F10" si="0">D6*E6</f>
        <v>5934300</v>
      </c>
    </row>
    <row r="7" spans="1:8">
      <c r="B7" s="300">
        <v>3</v>
      </c>
      <c r="C7" s="301" t="str">
        <f>'2.Capex Details'!B71</f>
        <v>Furniture and Fixture</v>
      </c>
      <c r="D7" s="305">
        <f>'2.Capex Details'!F80</f>
        <v>187000</v>
      </c>
      <c r="E7" s="306">
        <v>0.6</v>
      </c>
      <c r="F7" s="307">
        <f t="shared" si="0"/>
        <v>112200</v>
      </c>
    </row>
    <row r="8" spans="1:8">
      <c r="B8" s="300">
        <v>4</v>
      </c>
      <c r="C8" s="301" t="str">
        <f>'2.Capex Details'!B85</f>
        <v>IT &amp; It Infrastracture</v>
      </c>
      <c r="D8" s="305">
        <f>'2.Capex Details'!F94</f>
        <v>78000</v>
      </c>
      <c r="E8" s="306">
        <v>0.6</v>
      </c>
      <c r="F8" s="307">
        <f t="shared" si="0"/>
        <v>46800</v>
      </c>
    </row>
    <row r="9" spans="1:8">
      <c r="B9" s="300">
        <v>5</v>
      </c>
      <c r="C9" s="301" t="str">
        <f>'2.Capex Details'!B99</f>
        <v>Vehicle</v>
      </c>
      <c r="D9" s="305">
        <f>'2.Capex Details'!F105</f>
        <v>0</v>
      </c>
      <c r="E9" s="306">
        <v>0.6</v>
      </c>
      <c r="F9" s="307">
        <f t="shared" si="0"/>
        <v>0</v>
      </c>
    </row>
    <row r="10" spans="1:8">
      <c r="B10" s="300">
        <v>6</v>
      </c>
      <c r="C10" s="301" t="str">
        <f>'2.Capex Details'!B109</f>
        <v>Preliminary Expenses</v>
      </c>
      <c r="D10" s="305">
        <f>'2.Capex Details'!D117</f>
        <v>748646</v>
      </c>
      <c r="E10" s="306">
        <v>0.6</v>
      </c>
      <c r="F10" s="307">
        <f t="shared" si="0"/>
        <v>449187.6</v>
      </c>
    </row>
    <row r="11" spans="1:8">
      <c r="B11" s="300">
        <v>7</v>
      </c>
      <c r="C11" s="301" t="s">
        <v>156</v>
      </c>
      <c r="D11" s="305">
        <f>'5.Closing Stock &amp; W Capital'!E57</f>
        <v>1444514.3893238574</v>
      </c>
      <c r="E11" s="308"/>
      <c r="F11" s="308"/>
    </row>
    <row r="12" spans="1:8">
      <c r="B12" s="369" t="s">
        <v>1</v>
      </c>
      <c r="C12" s="369"/>
      <c r="D12" s="309">
        <f>SUM(D5:D11)</f>
        <v>25785468.383523855</v>
      </c>
      <c r="E12" s="308"/>
      <c r="F12" s="309">
        <f>SUM(F5:F11)</f>
        <v>14604572.396519998</v>
      </c>
    </row>
    <row r="13" spans="1:8">
      <c r="D13" s="18"/>
    </row>
    <row r="14" spans="1:8" ht="25.5" customHeight="1">
      <c r="A14" s="371" t="s">
        <v>414</v>
      </c>
      <c r="B14" s="371"/>
      <c r="C14" s="371"/>
      <c r="D14" s="371"/>
      <c r="E14" s="371"/>
      <c r="F14" s="371"/>
      <c r="H14" s="341"/>
    </row>
    <row r="16" spans="1:8" ht="18.75">
      <c r="B16" s="368" t="s">
        <v>555</v>
      </c>
      <c r="C16" s="368"/>
      <c r="D16" s="368"/>
      <c r="E16" s="368"/>
      <c r="F16" s="368"/>
    </row>
    <row r="18" spans="2:7">
      <c r="B18" s="298" t="s">
        <v>145</v>
      </c>
      <c r="C18" s="299" t="s">
        <v>128</v>
      </c>
      <c r="D18" s="299" t="s">
        <v>642</v>
      </c>
      <c r="E18" s="299" t="s">
        <v>157</v>
      </c>
    </row>
    <row r="19" spans="2:7" ht="25.5">
      <c r="B19" s="300">
        <v>1</v>
      </c>
      <c r="C19" s="301" t="s">
        <v>333</v>
      </c>
      <c r="D19" s="328"/>
      <c r="E19" s="302">
        <f>F12</f>
        <v>14604572.396519998</v>
      </c>
    </row>
    <row r="20" spans="2:7" ht="38.25">
      <c r="B20" s="300">
        <v>2</v>
      </c>
      <c r="C20" s="301" t="s">
        <v>711</v>
      </c>
      <c r="D20" s="339"/>
      <c r="E20" s="302">
        <f>D12-E19-E21</f>
        <v>7302286.19826</v>
      </c>
    </row>
    <row r="21" spans="2:7" ht="25.5">
      <c r="B21" s="300">
        <v>3</v>
      </c>
      <c r="C21" s="301" t="s">
        <v>710</v>
      </c>
      <c r="D21" s="327">
        <v>0.1</v>
      </c>
      <c r="E21" s="302">
        <f>(SUM(D5:D10)*D21)+D11</f>
        <v>3878609.7887438573</v>
      </c>
    </row>
    <row r="22" spans="2:7">
      <c r="B22" s="369" t="s">
        <v>1</v>
      </c>
      <c r="C22" s="369"/>
      <c r="D22" s="303"/>
      <c r="E22" s="303">
        <f>SUM(E19:E21)</f>
        <v>25785468.383523855</v>
      </c>
    </row>
    <row r="24" spans="2:7">
      <c r="B24" s="370" t="s">
        <v>415</v>
      </c>
      <c r="C24" s="370"/>
      <c r="D24" s="370"/>
      <c r="E24" s="370"/>
      <c r="F24" s="370"/>
    </row>
    <row r="26" spans="2:7" ht="18.75">
      <c r="B26" s="368" t="s">
        <v>556</v>
      </c>
      <c r="C26" s="368"/>
      <c r="D26" s="368"/>
      <c r="E26" s="368"/>
      <c r="F26" s="368"/>
    </row>
    <row r="27" spans="2:7" ht="30" customHeight="1">
      <c r="B27" s="311" t="s">
        <v>145</v>
      </c>
      <c r="C27" s="310" t="s">
        <v>603</v>
      </c>
      <c r="D27" s="310" t="s">
        <v>604</v>
      </c>
      <c r="E27" s="311" t="s">
        <v>605</v>
      </c>
      <c r="F27" s="311" t="s">
        <v>606</v>
      </c>
    </row>
    <row r="28" spans="2:7">
      <c r="B28" s="312">
        <v>1</v>
      </c>
      <c r="C28" s="301" t="s">
        <v>380</v>
      </c>
      <c r="D28" s="313">
        <f>'9.1 Financial indiacators'!C49</f>
        <v>0.48657877713806358</v>
      </c>
      <c r="E28" s="312" t="s">
        <v>381</v>
      </c>
      <c r="F28" s="321" t="s">
        <v>714</v>
      </c>
      <c r="G28" s="319"/>
    </row>
    <row r="29" spans="2:7" ht="25.5">
      <c r="B29" s="312">
        <v>2</v>
      </c>
      <c r="C29" s="301" t="s">
        <v>382</v>
      </c>
      <c r="D29" s="314">
        <f>'9.1 Financial indiacators'!C85</f>
        <v>0.18658838618009571</v>
      </c>
      <c r="E29" s="312" t="s">
        <v>381</v>
      </c>
      <c r="F29" s="321" t="s">
        <v>685</v>
      </c>
      <c r="G29" s="320"/>
    </row>
    <row r="30" spans="2:7" ht="25.5">
      <c r="B30" s="312">
        <v>3</v>
      </c>
      <c r="C30" s="301" t="s">
        <v>383</v>
      </c>
      <c r="D30" s="313">
        <f>'9.1 Financial indiacators'!C16</f>
        <v>0.11013609315237691</v>
      </c>
      <c r="E30" s="312" t="s">
        <v>381</v>
      </c>
      <c r="F30" s="321" t="s">
        <v>608</v>
      </c>
      <c r="G30" s="320"/>
    </row>
    <row r="31" spans="2:7" ht="63.75">
      <c r="B31" s="312">
        <v>4</v>
      </c>
      <c r="C31" s="301" t="s">
        <v>384</v>
      </c>
      <c r="D31" s="315">
        <f>'9.1 Financial indiacators'!C73</f>
        <v>1086885.8997012265</v>
      </c>
      <c r="E31" s="312" t="s">
        <v>687</v>
      </c>
      <c r="F31" s="321" t="s">
        <v>607</v>
      </c>
      <c r="G31" s="320"/>
    </row>
    <row r="32" spans="2:7" ht="38.25">
      <c r="B32" s="312">
        <v>5</v>
      </c>
      <c r="C32" s="301" t="s">
        <v>385</v>
      </c>
      <c r="D32" s="316">
        <f>'9.1 Financial indiacators'!D101</f>
        <v>5.2758413372965016</v>
      </c>
      <c r="E32" s="312" t="s">
        <v>381</v>
      </c>
      <c r="F32" s="321" t="s">
        <v>686</v>
      </c>
      <c r="G32" s="320"/>
    </row>
    <row r="33" spans="2:7" ht="30">
      <c r="B33" s="312">
        <v>6</v>
      </c>
      <c r="C33" s="317" t="s">
        <v>386</v>
      </c>
      <c r="D33" s="316">
        <f>'9.1 Financial indiacators'!C120</f>
        <v>3.6971213686521227</v>
      </c>
      <c r="E33" s="318" t="s">
        <v>381</v>
      </c>
      <c r="F33" s="321" t="s">
        <v>609</v>
      </c>
      <c r="G33" s="320"/>
    </row>
  </sheetData>
  <mergeCells count="7">
    <mergeCell ref="B26:F26"/>
    <mergeCell ref="B12:C12"/>
    <mergeCell ref="B22:C22"/>
    <mergeCell ref="B2:F2"/>
    <mergeCell ref="B16:F16"/>
    <mergeCell ref="B24:F24"/>
    <mergeCell ref="A14:F14"/>
  </mergeCells>
  <conditionalFormatting sqref="D23">
    <cfRule type="cellIs" dxfId="3" priority="2" operator="greaterThan">
      <formula>0</formula>
    </cfRule>
  </conditionalFormatting>
  <pageMargins left="0.7" right="0.7" top="0.75" bottom="0.75" header="0.3" footer="0.3"/>
  <pageSetup scale="92" orientation="portrait" r:id="rId1"/>
</worksheet>
</file>

<file path=xl/worksheets/sheet3.xml><?xml version="1.0" encoding="utf-8"?>
<worksheet xmlns="http://schemas.openxmlformats.org/spreadsheetml/2006/main" xmlns:r="http://schemas.openxmlformats.org/officeDocument/2006/relationships">
  <dimension ref="A2:K119"/>
  <sheetViews>
    <sheetView view="pageBreakPreview" topLeftCell="A10" zoomScale="80" zoomScaleSheetLayoutView="80" workbookViewId="0">
      <selection activeCell="L39" sqref="L39"/>
    </sheetView>
  </sheetViews>
  <sheetFormatPr defaultRowHeight="15"/>
  <cols>
    <col min="2" max="2" width="7.5703125" bestFit="1" customWidth="1"/>
    <col min="3" max="3" width="41.5703125" customWidth="1"/>
    <col min="4" max="4" width="9.7109375" customWidth="1"/>
    <col min="5" max="5" width="17" customWidth="1"/>
    <col min="6" max="6" width="14" bestFit="1" customWidth="1"/>
    <col min="7" max="7" width="12.42578125" bestFit="1" customWidth="1"/>
    <col min="8" max="8" width="11.5703125" bestFit="1" customWidth="1"/>
  </cols>
  <sheetData>
    <row r="2" spans="1:7" ht="18.75">
      <c r="A2">
        <v>2.1</v>
      </c>
      <c r="B2" s="368" t="s">
        <v>154</v>
      </c>
      <c r="C2" s="368"/>
      <c r="D2" s="368"/>
      <c r="E2" s="368"/>
      <c r="F2" s="368"/>
      <c r="G2" s="368"/>
    </row>
    <row r="4" spans="1:7" ht="28.5">
      <c r="B4" s="181" t="s">
        <v>145</v>
      </c>
      <c r="C4" s="181" t="s">
        <v>128</v>
      </c>
      <c r="D4" s="181" t="s">
        <v>132</v>
      </c>
      <c r="E4" s="181" t="s">
        <v>146</v>
      </c>
      <c r="F4" s="181" t="s">
        <v>147</v>
      </c>
      <c r="G4" s="181" t="s">
        <v>157</v>
      </c>
    </row>
    <row r="5" spans="1:7" ht="30">
      <c r="B5" s="232">
        <v>1</v>
      </c>
      <c r="C5" s="232" t="s">
        <v>148</v>
      </c>
      <c r="D5" s="232" t="s">
        <v>149</v>
      </c>
      <c r="E5" s="196"/>
      <c r="F5" s="197"/>
      <c r="G5" s="198" t="s">
        <v>689</v>
      </c>
    </row>
    <row r="6" spans="1:7">
      <c r="B6" s="232">
        <v>2</v>
      </c>
      <c r="C6" s="232" t="s">
        <v>717</v>
      </c>
      <c r="D6" s="233" t="s">
        <v>295</v>
      </c>
      <c r="E6" s="199">
        <v>1000</v>
      </c>
      <c r="F6" s="342">
        <v>10586.282999999999</v>
      </c>
      <c r="G6" s="201">
        <f>E6*F6</f>
        <v>10586283</v>
      </c>
    </row>
    <row r="7" spans="1:7">
      <c r="B7" s="232">
        <v>3</v>
      </c>
      <c r="C7" s="232" t="s">
        <v>718</v>
      </c>
      <c r="D7" s="232" t="s">
        <v>719</v>
      </c>
      <c r="E7" s="199">
        <v>163</v>
      </c>
      <c r="F7" s="200">
        <v>17487.883399999999</v>
      </c>
      <c r="G7" s="201">
        <f t="shared" ref="G7:G11" si="0">E7*F7</f>
        <v>2850524.9941999996</v>
      </c>
    </row>
    <row r="8" spans="1:7">
      <c r="B8" s="232"/>
      <c r="C8" s="232"/>
      <c r="D8" s="233"/>
      <c r="E8" s="199"/>
      <c r="F8" s="200"/>
      <c r="G8" s="201">
        <f t="shared" si="0"/>
        <v>0</v>
      </c>
    </row>
    <row r="9" spans="1:7">
      <c r="B9" s="232"/>
      <c r="C9" s="232"/>
      <c r="D9" s="233"/>
      <c r="E9" s="199"/>
      <c r="F9" s="200"/>
      <c r="G9" s="201">
        <f t="shared" si="0"/>
        <v>0</v>
      </c>
    </row>
    <row r="10" spans="1:7">
      <c r="B10" s="232"/>
      <c r="C10" s="232"/>
      <c r="D10" s="233"/>
      <c r="E10" s="199"/>
      <c r="F10" s="200"/>
      <c r="G10" s="201">
        <f t="shared" si="0"/>
        <v>0</v>
      </c>
    </row>
    <row r="11" spans="1:7">
      <c r="B11" s="232"/>
      <c r="C11" s="232"/>
      <c r="D11" s="233"/>
      <c r="E11" s="199"/>
      <c r="F11" s="200"/>
      <c r="G11" s="201">
        <f t="shared" si="0"/>
        <v>0</v>
      </c>
    </row>
    <row r="12" spans="1:7">
      <c r="B12" s="372" t="s">
        <v>1</v>
      </c>
      <c r="C12" s="372"/>
      <c r="D12" s="372"/>
      <c r="E12" s="372"/>
      <c r="F12" s="372"/>
      <c r="G12" s="195">
        <f>SUM(G6:G11)</f>
        <v>13436807.994199999</v>
      </c>
    </row>
    <row r="15" spans="1:7">
      <c r="B15" s="370" t="s">
        <v>410</v>
      </c>
      <c r="C15" s="370"/>
      <c r="D15" s="370"/>
      <c r="E15" s="370"/>
      <c r="F15" s="370"/>
      <c r="G15" s="370"/>
    </row>
    <row r="17" spans="1:8" ht="18.75">
      <c r="A17">
        <v>2.2000000000000002</v>
      </c>
      <c r="B17" s="368" t="s">
        <v>155</v>
      </c>
      <c r="C17" s="368"/>
      <c r="D17" s="368"/>
      <c r="E17" s="368"/>
      <c r="F17" s="368"/>
      <c r="G17" s="368"/>
      <c r="H17" s="368"/>
    </row>
    <row r="18" spans="1:8">
      <c r="B18" s="13"/>
    </row>
    <row r="19" spans="1:8" ht="28.5">
      <c r="B19" s="181" t="s">
        <v>145</v>
      </c>
      <c r="C19" s="181" t="s">
        <v>150</v>
      </c>
      <c r="D19" s="181" t="s">
        <v>160</v>
      </c>
      <c r="E19" s="181" t="s">
        <v>151</v>
      </c>
      <c r="F19" s="181" t="s">
        <v>152</v>
      </c>
      <c r="G19" s="181" t="s">
        <v>157</v>
      </c>
      <c r="H19" s="181" t="s">
        <v>153</v>
      </c>
    </row>
    <row r="20" spans="1:8">
      <c r="B20" s="209"/>
      <c r="C20" s="202"/>
      <c r="D20" s="202"/>
      <c r="E20" s="202"/>
      <c r="F20" s="202"/>
      <c r="G20" s="203"/>
      <c r="H20" s="202"/>
    </row>
    <row r="21" spans="1:8">
      <c r="B21" s="205" t="s">
        <v>172</v>
      </c>
      <c r="C21" s="204" t="s">
        <v>365</v>
      </c>
      <c r="D21" s="204"/>
      <c r="E21" s="205">
        <v>1</v>
      </c>
      <c r="F21" s="206"/>
      <c r="G21" s="203">
        <f t="shared" ref="G21:G31" si="1">E21*F21</f>
        <v>0</v>
      </c>
      <c r="H21" s="207"/>
    </row>
    <row r="22" spans="1:8">
      <c r="B22" s="205">
        <v>1</v>
      </c>
      <c r="C22" s="204" t="s">
        <v>720</v>
      </c>
      <c r="D22" s="204"/>
      <c r="E22" s="205">
        <v>1</v>
      </c>
      <c r="F22" s="206">
        <v>2200000</v>
      </c>
      <c r="G22" s="203">
        <f t="shared" si="1"/>
        <v>2200000</v>
      </c>
      <c r="H22" s="207"/>
    </row>
    <row r="23" spans="1:8">
      <c r="B23" s="205"/>
      <c r="C23" s="204"/>
      <c r="D23" s="204"/>
      <c r="E23" s="205"/>
      <c r="F23" s="206"/>
      <c r="G23" s="203">
        <f t="shared" si="1"/>
        <v>0</v>
      </c>
      <c r="H23" s="207"/>
    </row>
    <row r="24" spans="1:8">
      <c r="B24" s="205"/>
      <c r="C24" s="204"/>
      <c r="D24" s="204"/>
      <c r="E24" s="205"/>
      <c r="F24" s="206"/>
      <c r="G24" s="203">
        <f t="shared" si="1"/>
        <v>0</v>
      </c>
      <c r="H24" s="207"/>
    </row>
    <row r="25" spans="1:8">
      <c r="B25" s="205"/>
      <c r="C25" s="204"/>
      <c r="D25" s="204"/>
      <c r="E25" s="205"/>
      <c r="F25" s="206"/>
      <c r="G25" s="203">
        <f t="shared" si="1"/>
        <v>0</v>
      </c>
      <c r="H25" s="207"/>
    </row>
    <row r="26" spans="1:8">
      <c r="B26" s="205"/>
      <c r="C26" s="204"/>
      <c r="D26" s="204"/>
      <c r="E26" s="205"/>
      <c r="F26" s="206"/>
      <c r="G26" s="203">
        <f t="shared" si="1"/>
        <v>0</v>
      </c>
      <c r="H26" s="207"/>
    </row>
    <row r="27" spans="1:8">
      <c r="B27" s="205"/>
      <c r="C27" s="204"/>
      <c r="D27" s="204"/>
      <c r="E27" s="205"/>
      <c r="F27" s="206"/>
      <c r="G27" s="203">
        <f t="shared" si="1"/>
        <v>0</v>
      </c>
      <c r="H27" s="207"/>
    </row>
    <row r="28" spans="1:8">
      <c r="B28" s="205"/>
      <c r="C28" s="204"/>
      <c r="D28" s="204"/>
      <c r="E28" s="205"/>
      <c r="F28" s="206"/>
      <c r="G28" s="203">
        <f t="shared" si="1"/>
        <v>0</v>
      </c>
      <c r="H28" s="207"/>
    </row>
    <row r="29" spans="1:8">
      <c r="B29" s="205"/>
      <c r="C29" s="204"/>
      <c r="D29" s="205"/>
      <c r="E29" s="205"/>
      <c r="F29" s="206"/>
      <c r="G29" s="203">
        <f t="shared" si="1"/>
        <v>0</v>
      </c>
      <c r="H29" s="207"/>
    </row>
    <row r="30" spans="1:8">
      <c r="B30" s="205"/>
      <c r="C30" s="204"/>
      <c r="D30" s="205"/>
      <c r="E30" s="205"/>
      <c r="F30" s="206"/>
      <c r="G30" s="203">
        <f t="shared" si="1"/>
        <v>0</v>
      </c>
      <c r="H30" s="207"/>
    </row>
    <row r="31" spans="1:8">
      <c r="B31" s="205"/>
      <c r="C31" s="204"/>
      <c r="D31" s="205"/>
      <c r="E31" s="205"/>
      <c r="F31" s="206"/>
      <c r="G31" s="203">
        <f t="shared" si="1"/>
        <v>0</v>
      </c>
      <c r="H31" s="207"/>
    </row>
    <row r="32" spans="1:8">
      <c r="B32" s="374" t="s">
        <v>170</v>
      </c>
      <c r="C32" s="374"/>
      <c r="D32" s="205"/>
      <c r="E32" s="205"/>
      <c r="F32" s="208"/>
      <c r="G32" s="203">
        <f>SUM(G21:G31)</f>
        <v>2200000</v>
      </c>
      <c r="H32" s="203">
        <f>SUM(H21:H31)</f>
        <v>0</v>
      </c>
    </row>
    <row r="33" spans="2:8">
      <c r="B33" s="205" t="s">
        <v>173</v>
      </c>
      <c r="C33" s="204" t="s">
        <v>727</v>
      </c>
      <c r="D33" s="209"/>
      <c r="E33" s="209"/>
      <c r="F33" s="203"/>
      <c r="G33" s="203"/>
      <c r="H33" s="202"/>
    </row>
    <row r="34" spans="2:8">
      <c r="B34" s="209">
        <v>1</v>
      </c>
      <c r="C34" s="343" t="s">
        <v>728</v>
      </c>
      <c r="D34" s="346"/>
      <c r="E34" s="345">
        <v>4</v>
      </c>
      <c r="F34" s="345">
        <v>100000</v>
      </c>
      <c r="G34" s="203">
        <f t="shared" ref="G34:G39" si="2">E34*F34</f>
        <v>400000</v>
      </c>
      <c r="H34" s="202">
        <v>20</v>
      </c>
    </row>
    <row r="35" spans="2:8">
      <c r="B35" s="209">
        <v>2</v>
      </c>
      <c r="C35" s="343" t="s">
        <v>729</v>
      </c>
      <c r="D35" s="346"/>
      <c r="E35" s="345">
        <v>1</v>
      </c>
      <c r="F35" s="345">
        <v>300000</v>
      </c>
      <c r="G35" s="203">
        <f t="shared" si="2"/>
        <v>300000</v>
      </c>
      <c r="H35" s="202"/>
    </row>
    <row r="36" spans="2:8">
      <c r="B36" s="209">
        <v>3</v>
      </c>
      <c r="C36" s="343" t="s">
        <v>730</v>
      </c>
      <c r="D36" s="346"/>
      <c r="E36" s="345">
        <v>1</v>
      </c>
      <c r="F36" s="345">
        <v>150000</v>
      </c>
      <c r="G36" s="203">
        <f t="shared" si="2"/>
        <v>150000</v>
      </c>
      <c r="H36" s="202"/>
    </row>
    <row r="37" spans="2:8">
      <c r="B37" s="209">
        <v>4</v>
      </c>
      <c r="C37" s="343" t="s">
        <v>731</v>
      </c>
      <c r="D37" s="346"/>
      <c r="E37" s="345">
        <v>1</v>
      </c>
      <c r="F37" s="345">
        <v>185000</v>
      </c>
      <c r="G37" s="203">
        <f t="shared" si="2"/>
        <v>185000</v>
      </c>
      <c r="H37" s="202"/>
    </row>
    <row r="38" spans="2:8">
      <c r="B38" s="209">
        <v>5</v>
      </c>
      <c r="C38" s="343" t="s">
        <v>732</v>
      </c>
      <c r="D38" s="346"/>
      <c r="E38" s="345">
        <v>1</v>
      </c>
      <c r="F38" s="345">
        <v>100000</v>
      </c>
      <c r="G38" s="203">
        <f t="shared" si="2"/>
        <v>100000</v>
      </c>
      <c r="H38" s="202"/>
    </row>
    <row r="39" spans="2:8">
      <c r="B39" s="209">
        <v>6</v>
      </c>
      <c r="C39" s="343" t="s">
        <v>733</v>
      </c>
      <c r="D39" s="346"/>
      <c r="E39" s="345">
        <v>1</v>
      </c>
      <c r="F39" s="345">
        <v>60000</v>
      </c>
      <c r="G39" s="203">
        <f t="shared" si="2"/>
        <v>60000</v>
      </c>
      <c r="H39" s="202"/>
    </row>
    <row r="40" spans="2:8">
      <c r="B40" s="209">
        <v>7</v>
      </c>
      <c r="C40" s="343" t="s">
        <v>734</v>
      </c>
      <c r="D40" s="346"/>
      <c r="E40" s="345">
        <v>1</v>
      </c>
      <c r="F40" s="345">
        <v>100000</v>
      </c>
      <c r="G40" s="203">
        <f t="shared" ref="G40:G46" si="3">F40</f>
        <v>100000</v>
      </c>
      <c r="H40" s="202"/>
    </row>
    <row r="41" spans="2:8">
      <c r="B41" s="209"/>
      <c r="C41" s="343" t="s">
        <v>735</v>
      </c>
      <c r="D41" s="346"/>
      <c r="E41" s="345">
        <v>1</v>
      </c>
      <c r="F41" s="345">
        <v>200000</v>
      </c>
      <c r="G41" s="203">
        <f t="shared" si="3"/>
        <v>200000</v>
      </c>
      <c r="H41" s="202"/>
    </row>
    <row r="42" spans="2:8">
      <c r="B42" s="209"/>
      <c r="C42" s="343" t="s">
        <v>736</v>
      </c>
      <c r="D42" s="346"/>
      <c r="E42" s="345">
        <v>1</v>
      </c>
      <c r="F42" s="345">
        <v>125000</v>
      </c>
      <c r="G42" s="203">
        <f t="shared" si="3"/>
        <v>125000</v>
      </c>
      <c r="H42" s="202"/>
    </row>
    <row r="43" spans="2:8">
      <c r="B43" s="209"/>
      <c r="C43" s="343" t="s">
        <v>737</v>
      </c>
      <c r="D43" s="346"/>
      <c r="E43" s="345">
        <v>1</v>
      </c>
      <c r="F43" s="345">
        <v>1800000</v>
      </c>
      <c r="G43" s="203">
        <f t="shared" si="3"/>
        <v>1800000</v>
      </c>
      <c r="H43" s="202"/>
    </row>
    <row r="44" spans="2:8">
      <c r="B44" s="209"/>
      <c r="C44" s="343" t="s">
        <v>726</v>
      </c>
      <c r="D44" s="346"/>
      <c r="E44" s="345">
        <v>1</v>
      </c>
      <c r="F44" s="345">
        <v>615600</v>
      </c>
      <c r="G44" s="203">
        <f t="shared" si="3"/>
        <v>615600</v>
      </c>
      <c r="H44" s="202"/>
    </row>
    <row r="45" spans="2:8">
      <c r="B45" s="209"/>
      <c r="C45" s="347" t="s">
        <v>738</v>
      </c>
      <c r="D45" s="346"/>
      <c r="E45" s="345">
        <v>1</v>
      </c>
      <c r="F45" s="345">
        <v>50000</v>
      </c>
      <c r="G45" s="203">
        <f t="shared" si="3"/>
        <v>50000</v>
      </c>
      <c r="H45" s="202"/>
    </row>
    <row r="46" spans="2:8">
      <c r="B46" s="209"/>
      <c r="C46" s="210"/>
      <c r="D46" s="209"/>
      <c r="E46" s="209"/>
      <c r="F46" s="203"/>
      <c r="G46" s="203">
        <f t="shared" si="3"/>
        <v>0</v>
      </c>
      <c r="H46" s="202"/>
    </row>
    <row r="47" spans="2:8">
      <c r="B47" s="374" t="s">
        <v>170</v>
      </c>
      <c r="C47" s="374"/>
      <c r="D47" s="205"/>
      <c r="E47" s="205"/>
      <c r="F47" s="208"/>
      <c r="G47" s="208">
        <f>SUM(G34:G46)</f>
        <v>4085600</v>
      </c>
      <c r="H47" s="208">
        <f>SUM(H34:H46)</f>
        <v>20</v>
      </c>
    </row>
    <row r="48" spans="2:8">
      <c r="B48" s="209"/>
      <c r="C48" s="210"/>
      <c r="D48" s="209"/>
      <c r="E48" s="209"/>
      <c r="F48" s="203"/>
      <c r="G48" s="203"/>
      <c r="H48" s="202"/>
    </row>
    <row r="49" spans="2:8">
      <c r="B49" s="205" t="s">
        <v>174</v>
      </c>
      <c r="C49" s="204" t="s">
        <v>366</v>
      </c>
      <c r="D49" s="209" t="s">
        <v>367</v>
      </c>
      <c r="E49" s="209">
        <v>1</v>
      </c>
      <c r="F49" s="203"/>
      <c r="G49" s="203">
        <f t="shared" ref="G49:G56" si="4">E49*F49</f>
        <v>0</v>
      </c>
      <c r="H49" s="202">
        <v>20</v>
      </c>
    </row>
    <row r="50" spans="2:8">
      <c r="B50" s="205"/>
      <c r="C50" s="343" t="s">
        <v>721</v>
      </c>
      <c r="D50" s="209" t="s">
        <v>367</v>
      </c>
      <c r="E50" s="211">
        <v>4</v>
      </c>
      <c r="F50" s="344">
        <v>125000</v>
      </c>
      <c r="G50" s="203">
        <f t="shared" si="4"/>
        <v>500000</v>
      </c>
      <c r="H50" s="202"/>
    </row>
    <row r="51" spans="2:8">
      <c r="B51" s="205"/>
      <c r="C51" s="343" t="s">
        <v>722</v>
      </c>
      <c r="D51" s="209" t="s">
        <v>367</v>
      </c>
      <c r="E51" s="211">
        <v>1</v>
      </c>
      <c r="F51" s="344">
        <v>425000</v>
      </c>
      <c r="G51" s="203">
        <f t="shared" si="4"/>
        <v>425000</v>
      </c>
      <c r="H51" s="202"/>
    </row>
    <row r="52" spans="2:8">
      <c r="B52" s="205"/>
      <c r="C52" s="343" t="s">
        <v>723</v>
      </c>
      <c r="D52" s="210"/>
      <c r="E52" s="211">
        <v>1</v>
      </c>
      <c r="F52" s="344">
        <v>490000</v>
      </c>
      <c r="G52" s="203">
        <f t="shared" si="4"/>
        <v>490000</v>
      </c>
      <c r="H52" s="202"/>
    </row>
    <row r="53" spans="2:8">
      <c r="B53" s="205"/>
      <c r="C53" s="343" t="s">
        <v>724</v>
      </c>
      <c r="D53" s="210"/>
      <c r="E53" s="211">
        <v>1</v>
      </c>
      <c r="F53" s="344">
        <v>290000</v>
      </c>
      <c r="G53" s="203">
        <f t="shared" si="4"/>
        <v>290000</v>
      </c>
      <c r="H53" s="202"/>
    </row>
    <row r="54" spans="2:8">
      <c r="B54" s="205"/>
      <c r="C54" s="343" t="s">
        <v>725</v>
      </c>
      <c r="D54" s="210"/>
      <c r="E54" s="211">
        <v>5</v>
      </c>
      <c r="F54" s="345">
        <v>32000</v>
      </c>
      <c r="G54" s="203">
        <f t="shared" si="4"/>
        <v>160000</v>
      </c>
      <c r="H54" s="202"/>
    </row>
    <row r="55" spans="2:8">
      <c r="B55" s="205"/>
      <c r="C55" s="343" t="s">
        <v>726</v>
      </c>
      <c r="D55" s="210"/>
      <c r="E55" s="211">
        <v>1</v>
      </c>
      <c r="F55" s="203">
        <v>335700</v>
      </c>
      <c r="G55" s="203">
        <f t="shared" si="4"/>
        <v>335700</v>
      </c>
      <c r="H55" s="202"/>
    </row>
    <row r="56" spans="2:8">
      <c r="B56" s="205"/>
      <c r="C56" s="204"/>
      <c r="D56" s="210"/>
      <c r="E56" s="209"/>
      <c r="F56" s="203"/>
      <c r="G56" s="203">
        <f t="shared" si="4"/>
        <v>0</v>
      </c>
      <c r="H56" s="202"/>
    </row>
    <row r="57" spans="2:8">
      <c r="B57" s="374" t="s">
        <v>170</v>
      </c>
      <c r="C57" s="374"/>
      <c r="D57" s="210"/>
      <c r="E57" s="209"/>
      <c r="F57" s="203"/>
      <c r="G57" s="208">
        <f>SUM(G49:G56)</f>
        <v>2200700</v>
      </c>
      <c r="H57" s="208">
        <f>SUM(H49:H56)</f>
        <v>20</v>
      </c>
    </row>
    <row r="58" spans="2:8">
      <c r="B58" s="205"/>
      <c r="C58" s="205"/>
      <c r="D58" s="210"/>
      <c r="E58" s="209"/>
      <c r="F58" s="203"/>
      <c r="G58" s="203"/>
      <c r="H58" s="203"/>
    </row>
    <row r="59" spans="2:8">
      <c r="B59" s="205" t="s">
        <v>175</v>
      </c>
      <c r="C59" s="210" t="s">
        <v>739</v>
      </c>
      <c r="D59" s="209"/>
      <c r="E59" s="205"/>
      <c r="F59" s="203"/>
      <c r="G59" s="203">
        <f>E59*F59</f>
        <v>0</v>
      </c>
      <c r="H59" s="203">
        <v>20</v>
      </c>
    </row>
    <row r="60" spans="2:8">
      <c r="B60" s="205"/>
      <c r="C60" s="210" t="s">
        <v>740</v>
      </c>
      <c r="D60" s="209"/>
      <c r="E60" s="205">
        <v>1</v>
      </c>
      <c r="F60" s="203">
        <v>1190000</v>
      </c>
      <c r="G60" s="203">
        <f t="shared" ref="G60:G62" si="5">E60*F60</f>
        <v>1190000</v>
      </c>
      <c r="H60" s="203"/>
    </row>
    <row r="61" spans="2:8">
      <c r="B61" s="205"/>
      <c r="C61" s="210" t="s">
        <v>726</v>
      </c>
      <c r="D61" s="209"/>
      <c r="E61" s="205">
        <v>1</v>
      </c>
      <c r="F61" s="203">
        <v>214200</v>
      </c>
      <c r="G61" s="203">
        <f t="shared" si="5"/>
        <v>214200</v>
      </c>
      <c r="H61" s="203"/>
    </row>
    <row r="62" spans="2:8">
      <c r="B62" s="205"/>
      <c r="C62" s="204"/>
      <c r="D62" s="210"/>
      <c r="E62" s="209"/>
      <c r="F62" s="203"/>
      <c r="G62" s="203">
        <f t="shared" si="5"/>
        <v>0</v>
      </c>
      <c r="H62" s="202"/>
    </row>
    <row r="63" spans="2:8">
      <c r="B63" s="374" t="s">
        <v>170</v>
      </c>
      <c r="C63" s="374"/>
      <c r="D63" s="210"/>
      <c r="E63" s="209"/>
      <c r="F63" s="203"/>
      <c r="G63" s="203">
        <f>SUM(G59:G62)</f>
        <v>1404200</v>
      </c>
      <c r="H63" s="203">
        <f>SUM(H59:H62)</f>
        <v>20</v>
      </c>
    </row>
    <row r="64" spans="2:8">
      <c r="B64" s="209"/>
      <c r="C64" s="210"/>
      <c r="D64" s="210"/>
      <c r="E64" s="209"/>
      <c r="F64" s="203"/>
      <c r="G64" s="203"/>
      <c r="H64" s="202"/>
    </row>
    <row r="65" spans="1:11">
      <c r="B65" s="373" t="s">
        <v>1</v>
      </c>
      <c r="C65" s="373"/>
      <c r="D65" s="373"/>
      <c r="E65" s="373"/>
      <c r="F65" s="373"/>
      <c r="G65" s="194">
        <f>G57+G47+G32+G63</f>
        <v>9890500</v>
      </c>
      <c r="H65" s="194">
        <f>H47+H21+H57+H63</f>
        <v>60</v>
      </c>
    </row>
    <row r="66" spans="1:11">
      <c r="B66" s="13"/>
      <c r="G66" s="15"/>
    </row>
    <row r="67" spans="1:11">
      <c r="B67" s="370" t="s">
        <v>411</v>
      </c>
      <c r="C67" s="370"/>
      <c r="D67" s="370"/>
      <c r="E67" s="370"/>
      <c r="F67" s="370"/>
      <c r="G67" s="370"/>
      <c r="H67" s="370"/>
    </row>
    <row r="68" spans="1:11">
      <c r="B68" s="13"/>
      <c r="G68" s="15"/>
      <c r="I68" s="13"/>
      <c r="J68" s="13"/>
      <c r="K68" s="16"/>
    </row>
    <row r="71" spans="1:11" ht="18.75">
      <c r="A71">
        <v>2.2999999999999998</v>
      </c>
      <c r="B71" s="368" t="s">
        <v>378</v>
      </c>
      <c r="C71" s="368"/>
      <c r="D71" s="368"/>
      <c r="E71" s="368"/>
      <c r="F71" s="368"/>
    </row>
    <row r="73" spans="1:11" ht="30">
      <c r="B73" s="19" t="s">
        <v>145</v>
      </c>
      <c r="C73" s="47" t="s">
        <v>128</v>
      </c>
      <c r="D73" s="47" t="s">
        <v>151</v>
      </c>
      <c r="E73" s="47" t="s">
        <v>152</v>
      </c>
      <c r="F73" s="47" t="s">
        <v>157</v>
      </c>
    </row>
    <row r="74" spans="1:11">
      <c r="B74" s="211">
        <v>1</v>
      </c>
      <c r="C74" s="234" t="s">
        <v>330</v>
      </c>
      <c r="D74" s="211">
        <v>1</v>
      </c>
      <c r="E74" s="212">
        <v>187000</v>
      </c>
      <c r="F74" s="213">
        <f t="shared" ref="F74:F79" si="6">D74*E74</f>
        <v>187000</v>
      </c>
    </row>
    <row r="75" spans="1:11">
      <c r="B75" s="211"/>
      <c r="C75" s="234"/>
      <c r="D75" s="211"/>
      <c r="E75" s="212"/>
      <c r="F75" s="213">
        <f t="shared" si="6"/>
        <v>0</v>
      </c>
    </row>
    <row r="76" spans="1:11">
      <c r="B76" s="211"/>
      <c r="C76" s="234"/>
      <c r="D76" s="211"/>
      <c r="E76" s="212"/>
      <c r="F76" s="213">
        <f t="shared" si="6"/>
        <v>0</v>
      </c>
    </row>
    <row r="77" spans="1:11">
      <c r="B77" s="211"/>
      <c r="C77" s="234"/>
      <c r="D77" s="211"/>
      <c r="E77" s="212"/>
      <c r="F77" s="213">
        <f t="shared" si="6"/>
        <v>0</v>
      </c>
    </row>
    <row r="78" spans="1:11">
      <c r="B78" s="211"/>
      <c r="C78" s="234"/>
      <c r="D78" s="211"/>
      <c r="E78" s="212"/>
      <c r="F78" s="213">
        <f t="shared" si="6"/>
        <v>0</v>
      </c>
    </row>
    <row r="79" spans="1:11">
      <c r="B79" s="211"/>
      <c r="C79" s="234"/>
      <c r="D79" s="211"/>
      <c r="E79" s="212"/>
      <c r="F79" s="213">
        <f t="shared" si="6"/>
        <v>0</v>
      </c>
    </row>
    <row r="80" spans="1:11">
      <c r="B80" s="379" t="s">
        <v>1</v>
      </c>
      <c r="C80" s="379"/>
      <c r="D80" s="379"/>
      <c r="E80" s="379"/>
      <c r="F80" s="17">
        <f>SUM(F74:F79)</f>
        <v>187000</v>
      </c>
    </row>
    <row r="82" spans="1:7">
      <c r="A82" s="370" t="s">
        <v>412</v>
      </c>
      <c r="B82" s="370"/>
      <c r="C82" s="370"/>
      <c r="D82" s="370"/>
      <c r="E82" s="370"/>
      <c r="F82" s="370"/>
      <c r="G82" s="370"/>
    </row>
    <row r="85" spans="1:7" ht="18.75">
      <c r="A85">
        <v>2.4</v>
      </c>
      <c r="B85" s="368" t="s">
        <v>377</v>
      </c>
      <c r="C85" s="368"/>
      <c r="D85" s="368"/>
      <c r="E85" s="368"/>
      <c r="F85" s="368"/>
    </row>
    <row r="87" spans="1:7" ht="30">
      <c r="B87" s="19" t="s">
        <v>145</v>
      </c>
      <c r="C87" s="47" t="s">
        <v>128</v>
      </c>
      <c r="D87" s="47" t="s">
        <v>151</v>
      </c>
      <c r="E87" s="47" t="s">
        <v>152</v>
      </c>
      <c r="F87" s="47" t="s">
        <v>157</v>
      </c>
    </row>
    <row r="88" spans="1:7">
      <c r="B88" s="211">
        <v>1</v>
      </c>
      <c r="C88" s="234" t="s">
        <v>331</v>
      </c>
      <c r="D88" s="211">
        <v>1</v>
      </c>
      <c r="E88" s="212">
        <v>78000</v>
      </c>
      <c r="F88" s="213">
        <f t="shared" ref="F88:F93" si="7">D88*E88</f>
        <v>78000</v>
      </c>
    </row>
    <row r="89" spans="1:7">
      <c r="B89" s="211"/>
      <c r="C89" s="234"/>
      <c r="D89" s="211"/>
      <c r="E89" s="212"/>
      <c r="F89" s="213">
        <f t="shared" si="7"/>
        <v>0</v>
      </c>
    </row>
    <row r="90" spans="1:7">
      <c r="B90" s="211"/>
      <c r="C90" s="234"/>
      <c r="D90" s="211"/>
      <c r="E90" s="212"/>
      <c r="F90" s="213">
        <f t="shared" si="7"/>
        <v>0</v>
      </c>
    </row>
    <row r="91" spans="1:7">
      <c r="B91" s="211"/>
      <c r="C91" s="234"/>
      <c r="D91" s="211"/>
      <c r="E91" s="212"/>
      <c r="F91" s="213">
        <f t="shared" si="7"/>
        <v>0</v>
      </c>
    </row>
    <row r="92" spans="1:7">
      <c r="B92" s="211"/>
      <c r="C92" s="234"/>
      <c r="D92" s="211"/>
      <c r="E92" s="212"/>
      <c r="F92" s="213">
        <f t="shared" si="7"/>
        <v>0</v>
      </c>
    </row>
    <row r="93" spans="1:7">
      <c r="B93" s="211"/>
      <c r="C93" s="234"/>
      <c r="D93" s="211"/>
      <c r="E93" s="212"/>
      <c r="F93" s="213">
        <f t="shared" si="7"/>
        <v>0</v>
      </c>
    </row>
    <row r="94" spans="1:7">
      <c r="B94" s="379" t="s">
        <v>1</v>
      </c>
      <c r="C94" s="379"/>
      <c r="D94" s="379"/>
      <c r="E94" s="379"/>
      <c r="F94" s="17">
        <f>SUM(F88:F93)</f>
        <v>78000</v>
      </c>
    </row>
    <row r="96" spans="1:7">
      <c r="A96" s="370" t="s">
        <v>412</v>
      </c>
      <c r="B96" s="370"/>
      <c r="C96" s="370"/>
      <c r="D96" s="370"/>
      <c r="E96" s="370"/>
      <c r="F96" s="370"/>
      <c r="G96" s="370"/>
    </row>
    <row r="99" spans="1:7" ht="18.75">
      <c r="A99">
        <v>2.5</v>
      </c>
      <c r="B99" s="368" t="s">
        <v>273</v>
      </c>
      <c r="C99" s="368"/>
      <c r="D99" s="368"/>
      <c r="E99" s="368"/>
      <c r="F99" s="368"/>
    </row>
    <row r="101" spans="1:7" ht="28.5">
      <c r="B101" s="180" t="s">
        <v>145</v>
      </c>
      <c r="C101" s="181" t="s">
        <v>128</v>
      </c>
      <c r="D101" s="181" t="s">
        <v>151</v>
      </c>
      <c r="E101" s="181" t="s">
        <v>152</v>
      </c>
      <c r="F101" s="181" t="s">
        <v>157</v>
      </c>
    </row>
    <row r="102" spans="1:7">
      <c r="B102" s="209">
        <v>1</v>
      </c>
      <c r="C102" s="210" t="s">
        <v>273</v>
      </c>
      <c r="D102" s="209">
        <v>1</v>
      </c>
      <c r="E102" s="214"/>
      <c r="F102" s="203">
        <f>E102*D102</f>
        <v>0</v>
      </c>
    </row>
    <row r="103" spans="1:7">
      <c r="B103" s="209"/>
      <c r="C103" s="210"/>
      <c r="D103" s="209"/>
      <c r="E103" s="214"/>
      <c r="F103" s="203">
        <f>E103*D103</f>
        <v>0</v>
      </c>
    </row>
    <row r="104" spans="1:7">
      <c r="B104" s="209"/>
      <c r="C104" s="210"/>
      <c r="D104" s="209"/>
      <c r="E104" s="214"/>
      <c r="F104" s="203">
        <f>E104*D104</f>
        <v>0</v>
      </c>
    </row>
    <row r="105" spans="1:7">
      <c r="B105" s="373" t="s">
        <v>1</v>
      </c>
      <c r="C105" s="373"/>
      <c r="D105" s="373"/>
      <c r="E105" s="373"/>
      <c r="F105" s="183">
        <f>SUM(F102:F104)</f>
        <v>0</v>
      </c>
    </row>
    <row r="106" spans="1:7">
      <c r="A106" s="378" t="s">
        <v>443</v>
      </c>
      <c r="B106" s="378"/>
      <c r="C106" s="378"/>
      <c r="D106" s="378"/>
      <c r="E106" s="378"/>
      <c r="F106" s="378"/>
      <c r="G106" s="378"/>
    </row>
    <row r="109" spans="1:7" ht="18.75">
      <c r="A109">
        <v>2.6</v>
      </c>
      <c r="B109" s="368" t="s">
        <v>251</v>
      </c>
      <c r="C109" s="368"/>
      <c r="D109" s="368"/>
    </row>
    <row r="110" spans="1:7" ht="15.75" thickBot="1"/>
    <row r="111" spans="1:7" ht="29.25" thickBot="1">
      <c r="B111" s="192" t="s">
        <v>145</v>
      </c>
      <c r="C111" s="193" t="s">
        <v>128</v>
      </c>
      <c r="D111" s="193" t="s">
        <v>376</v>
      </c>
    </row>
    <row r="112" spans="1:7" ht="15.75" thickBot="1">
      <c r="B112" s="235">
        <v>1</v>
      </c>
      <c r="C112" s="210" t="s">
        <v>741</v>
      </c>
      <c r="D112" s="348">
        <v>100000</v>
      </c>
    </row>
    <row r="113" spans="1:5" ht="15.75" thickBot="1">
      <c r="B113" s="235">
        <v>2</v>
      </c>
      <c r="C113" s="210" t="s">
        <v>742</v>
      </c>
      <c r="D113" s="348">
        <v>85000</v>
      </c>
    </row>
    <row r="114" spans="1:5" ht="15.75" thickBot="1">
      <c r="B114" s="235">
        <v>3</v>
      </c>
      <c r="C114" s="210" t="s">
        <v>743</v>
      </c>
      <c r="D114" s="348">
        <v>67600</v>
      </c>
    </row>
    <row r="115" spans="1:5" ht="15.75" thickBot="1">
      <c r="B115" s="235">
        <v>4</v>
      </c>
      <c r="C115" s="210" t="s">
        <v>744</v>
      </c>
      <c r="D115" s="348">
        <v>496046</v>
      </c>
    </row>
    <row r="116" spans="1:5" ht="15.75" thickBot="1">
      <c r="B116" s="235"/>
      <c r="C116" s="236"/>
      <c r="D116" s="215"/>
    </row>
    <row r="117" spans="1:5" ht="15.75" thickBot="1">
      <c r="B117" s="375" t="s">
        <v>1</v>
      </c>
      <c r="C117" s="376"/>
      <c r="D117" s="216">
        <f>SUM(D112:D116)</f>
        <v>748646</v>
      </c>
    </row>
    <row r="119" spans="1:5" ht="43.5" customHeight="1">
      <c r="A119" s="377" t="s">
        <v>688</v>
      </c>
      <c r="B119" s="377"/>
      <c r="C119" s="377"/>
      <c r="D119" s="377"/>
      <c r="E119" s="377"/>
    </row>
  </sheetData>
  <mergeCells count="22">
    <mergeCell ref="B117:C117"/>
    <mergeCell ref="A119:E119"/>
    <mergeCell ref="B63:C63"/>
    <mergeCell ref="A96:G96"/>
    <mergeCell ref="B105:E105"/>
    <mergeCell ref="B99:F99"/>
    <mergeCell ref="A106:G106"/>
    <mergeCell ref="B109:D109"/>
    <mergeCell ref="B80:E80"/>
    <mergeCell ref="B71:F71"/>
    <mergeCell ref="A82:G82"/>
    <mergeCell ref="B94:E94"/>
    <mergeCell ref="B85:F85"/>
    <mergeCell ref="B12:F12"/>
    <mergeCell ref="B2:G2"/>
    <mergeCell ref="B15:G15"/>
    <mergeCell ref="B67:H67"/>
    <mergeCell ref="B65:F65"/>
    <mergeCell ref="B17:H17"/>
    <mergeCell ref="B32:C32"/>
    <mergeCell ref="B47:C47"/>
    <mergeCell ref="B57:C57"/>
  </mergeCells>
  <pageMargins left="0.7" right="0.7" top="0.75" bottom="0.75" header="0.3" footer="0.3"/>
  <pageSetup scale="75" orientation="portrait" r:id="rId1"/>
</worksheet>
</file>

<file path=xl/worksheets/sheet4.xml><?xml version="1.0" encoding="utf-8"?>
<worksheet xmlns="http://schemas.openxmlformats.org/spreadsheetml/2006/main" xmlns:r="http://schemas.openxmlformats.org/officeDocument/2006/relationships">
  <dimension ref="A2:Q104"/>
  <sheetViews>
    <sheetView view="pageBreakPreview" zoomScale="80" zoomScaleSheetLayoutView="80" workbookViewId="0">
      <selection activeCell="G14" sqref="G14"/>
    </sheetView>
  </sheetViews>
  <sheetFormatPr defaultRowHeight="15"/>
  <cols>
    <col min="1" max="1" width="41.28515625" customWidth="1"/>
    <col min="2" max="2" width="14.5703125" bestFit="1" customWidth="1"/>
    <col min="3" max="3" width="13.28515625" customWidth="1"/>
    <col min="4" max="4" width="13.42578125" customWidth="1"/>
    <col min="5" max="5" width="14.85546875" customWidth="1"/>
    <col min="6" max="7" width="14.7109375" bestFit="1" customWidth="1"/>
    <col min="8" max="8" width="14.85546875" bestFit="1" customWidth="1"/>
    <col min="9" max="9" width="14.85546875" customWidth="1"/>
    <col min="10" max="10" width="14.7109375" bestFit="1" customWidth="1"/>
    <col min="11" max="11" width="14.85546875" customWidth="1"/>
    <col min="12" max="17" width="10.5703125" bestFit="1" customWidth="1"/>
  </cols>
  <sheetData>
    <row r="2" spans="1:11" ht="18.75">
      <c r="A2" s="368" t="s">
        <v>696</v>
      </c>
      <c r="B2" s="368"/>
      <c r="C2" s="368"/>
      <c r="D2" s="368"/>
      <c r="E2" s="368"/>
      <c r="F2" s="368"/>
      <c r="G2" s="368"/>
      <c r="H2" s="368"/>
      <c r="I2" s="368"/>
      <c r="J2" s="368"/>
      <c r="K2" s="368"/>
    </row>
    <row r="4" spans="1:11">
      <c r="A4" s="73"/>
      <c r="B4" s="73"/>
      <c r="C4" s="73"/>
      <c r="D4" s="73"/>
      <c r="E4" s="155">
        <v>1</v>
      </c>
      <c r="F4" s="153">
        <f>(E4*5%)+E4</f>
        <v>1.05</v>
      </c>
      <c r="G4" s="153">
        <v>1.1000000000000001</v>
      </c>
      <c r="H4" s="153">
        <v>1.1499999999999999</v>
      </c>
      <c r="I4" s="153">
        <v>1.2</v>
      </c>
      <c r="J4" s="153">
        <v>1.25</v>
      </c>
      <c r="K4" s="153">
        <v>1.3</v>
      </c>
    </row>
    <row r="5" spans="1:11">
      <c r="A5" s="73"/>
      <c r="B5" s="73"/>
      <c r="C5" s="73"/>
      <c r="D5" s="73"/>
      <c r="E5" s="73"/>
      <c r="F5" s="73"/>
      <c r="G5" s="73"/>
      <c r="H5" s="73"/>
      <c r="I5" s="73"/>
      <c r="J5" s="73"/>
      <c r="K5" s="73"/>
    </row>
    <row r="6" spans="1:11">
      <c r="A6" s="125" t="s">
        <v>0</v>
      </c>
      <c r="B6" s="125" t="s">
        <v>132</v>
      </c>
      <c r="C6" s="125" t="s">
        <v>387</v>
      </c>
      <c r="D6" s="125" t="s">
        <v>285</v>
      </c>
      <c r="E6" s="97" t="s">
        <v>2</v>
      </c>
      <c r="F6" s="97" t="s">
        <v>3</v>
      </c>
      <c r="G6" s="97" t="s">
        <v>4</v>
      </c>
      <c r="H6" s="97" t="s">
        <v>5</v>
      </c>
      <c r="I6" s="97" t="s">
        <v>6</v>
      </c>
      <c r="J6" s="97" t="s">
        <v>168</v>
      </c>
      <c r="K6" s="97" t="s">
        <v>167</v>
      </c>
    </row>
    <row r="7" spans="1:11">
      <c r="A7" s="74"/>
      <c r="B7" s="74"/>
      <c r="C7" s="74"/>
      <c r="D7" s="74"/>
      <c r="E7" s="74"/>
      <c r="F7" s="74"/>
      <c r="G7" s="74"/>
      <c r="H7" s="74"/>
      <c r="I7" s="74"/>
      <c r="J7" s="74"/>
      <c r="K7" s="74"/>
    </row>
    <row r="8" spans="1:11">
      <c r="A8" s="74" t="s">
        <v>327</v>
      </c>
      <c r="B8" s="74" t="s">
        <v>388</v>
      </c>
      <c r="C8" s="202">
        <v>2</v>
      </c>
      <c r="D8" s="226">
        <v>30000</v>
      </c>
      <c r="E8" s="75">
        <f>$C8*$D8*12*E$4</f>
        <v>720000</v>
      </c>
      <c r="F8" s="75">
        <f t="shared" ref="F8:K8" si="0">$C8*$D8*12*F$4</f>
        <v>756000</v>
      </c>
      <c r="G8" s="75">
        <f t="shared" si="0"/>
        <v>792000.00000000012</v>
      </c>
      <c r="H8" s="75">
        <f t="shared" si="0"/>
        <v>827999.99999999988</v>
      </c>
      <c r="I8" s="75">
        <f t="shared" si="0"/>
        <v>864000</v>
      </c>
      <c r="J8" s="75">
        <f t="shared" si="0"/>
        <v>900000</v>
      </c>
      <c r="K8" s="75">
        <f t="shared" si="0"/>
        <v>936000</v>
      </c>
    </row>
    <row r="9" spans="1:11">
      <c r="A9" s="74" t="s">
        <v>186</v>
      </c>
      <c r="B9" s="74" t="s">
        <v>388</v>
      </c>
      <c r="C9" s="202">
        <v>1</v>
      </c>
      <c r="D9" s="226">
        <v>22000</v>
      </c>
      <c r="E9" s="75">
        <f>$C9*$D9*12*E$4</f>
        <v>264000</v>
      </c>
      <c r="F9" s="75">
        <f t="shared" ref="F9:K10" si="1">$C9*$D9*12*F$4</f>
        <v>277200</v>
      </c>
      <c r="G9" s="75">
        <f t="shared" si="1"/>
        <v>290400</v>
      </c>
      <c r="H9" s="75">
        <f t="shared" si="1"/>
        <v>303600</v>
      </c>
      <c r="I9" s="75">
        <f t="shared" si="1"/>
        <v>316800</v>
      </c>
      <c r="J9" s="75">
        <f t="shared" si="1"/>
        <v>330000</v>
      </c>
      <c r="K9" s="75">
        <f t="shared" si="1"/>
        <v>343200</v>
      </c>
    </row>
    <row r="10" spans="1:11">
      <c r="A10" s="74" t="s">
        <v>191</v>
      </c>
      <c r="B10" s="74" t="s">
        <v>388</v>
      </c>
      <c r="C10" s="202">
        <v>2</v>
      </c>
      <c r="D10" s="226">
        <v>18000</v>
      </c>
      <c r="E10" s="75">
        <f>$C10*$D10*12*E$4</f>
        <v>432000</v>
      </c>
      <c r="F10" s="75">
        <f t="shared" si="1"/>
        <v>453600</v>
      </c>
      <c r="G10" s="75">
        <f t="shared" si="1"/>
        <v>475200.00000000006</v>
      </c>
      <c r="H10" s="75">
        <f t="shared" si="1"/>
        <v>496799.99999999994</v>
      </c>
      <c r="I10" s="75">
        <f t="shared" si="1"/>
        <v>518400</v>
      </c>
      <c r="J10" s="75">
        <f t="shared" si="1"/>
        <v>540000</v>
      </c>
      <c r="K10" s="75">
        <f t="shared" si="1"/>
        <v>561600</v>
      </c>
    </row>
    <row r="11" spans="1:11">
      <c r="A11" s="74" t="s">
        <v>745</v>
      </c>
      <c r="B11" s="74" t="s">
        <v>389</v>
      </c>
      <c r="C11" s="74">
        <v>12</v>
      </c>
      <c r="D11" s="226">
        <v>12000</v>
      </c>
      <c r="E11" s="75">
        <f>$C11*$D11*E$4</f>
        <v>144000</v>
      </c>
      <c r="F11" s="75">
        <f t="shared" ref="F11:K15" si="2">$C11*$D11*F$4</f>
        <v>151200</v>
      </c>
      <c r="G11" s="75">
        <f t="shared" si="2"/>
        <v>158400</v>
      </c>
      <c r="H11" s="75">
        <f t="shared" si="2"/>
        <v>165600</v>
      </c>
      <c r="I11" s="75">
        <f t="shared" si="2"/>
        <v>172800</v>
      </c>
      <c r="J11" s="75">
        <f t="shared" si="2"/>
        <v>180000</v>
      </c>
      <c r="K11" s="75">
        <f t="shared" si="2"/>
        <v>187200</v>
      </c>
    </row>
    <row r="12" spans="1:11">
      <c r="A12" s="74" t="s">
        <v>10</v>
      </c>
      <c r="B12" s="74" t="s">
        <v>389</v>
      </c>
      <c r="C12" s="74">
        <v>12</v>
      </c>
      <c r="D12" s="226">
        <v>10000</v>
      </c>
      <c r="E12" s="75">
        <f t="shared" ref="E12:E15" si="3">$C12*$D12*E$4</f>
        <v>120000</v>
      </c>
      <c r="F12" s="75">
        <f t="shared" si="2"/>
        <v>126000</v>
      </c>
      <c r="G12" s="75">
        <f t="shared" si="2"/>
        <v>132000</v>
      </c>
      <c r="H12" s="75">
        <f t="shared" si="2"/>
        <v>138000</v>
      </c>
      <c r="I12" s="75">
        <f t="shared" si="2"/>
        <v>144000</v>
      </c>
      <c r="J12" s="75">
        <f t="shared" si="2"/>
        <v>150000</v>
      </c>
      <c r="K12" s="75">
        <f t="shared" si="2"/>
        <v>156000</v>
      </c>
    </row>
    <row r="13" spans="1:11">
      <c r="A13" s="74" t="s">
        <v>187</v>
      </c>
      <c r="B13" s="74" t="s">
        <v>389</v>
      </c>
      <c r="C13" s="74">
        <v>12</v>
      </c>
      <c r="D13" s="226">
        <v>3500</v>
      </c>
      <c r="E13" s="75">
        <f t="shared" si="3"/>
        <v>42000</v>
      </c>
      <c r="F13" s="75">
        <f t="shared" si="2"/>
        <v>44100</v>
      </c>
      <c r="G13" s="75">
        <f t="shared" si="2"/>
        <v>46200.000000000007</v>
      </c>
      <c r="H13" s="75">
        <f t="shared" si="2"/>
        <v>48299.999999999993</v>
      </c>
      <c r="I13" s="75">
        <f t="shared" si="2"/>
        <v>50400</v>
      </c>
      <c r="J13" s="75">
        <f t="shared" si="2"/>
        <v>52500</v>
      </c>
      <c r="K13" s="75">
        <f t="shared" si="2"/>
        <v>54600</v>
      </c>
    </row>
    <row r="14" spans="1:11">
      <c r="A14" s="74" t="s">
        <v>159</v>
      </c>
      <c r="B14" s="74" t="s">
        <v>389</v>
      </c>
      <c r="C14" s="74">
        <v>12</v>
      </c>
      <c r="D14" s="226">
        <v>2500</v>
      </c>
      <c r="E14" s="75">
        <f t="shared" si="3"/>
        <v>30000</v>
      </c>
      <c r="F14" s="75">
        <f t="shared" si="2"/>
        <v>31500</v>
      </c>
      <c r="G14" s="75">
        <f t="shared" si="2"/>
        <v>33000</v>
      </c>
      <c r="H14" s="75">
        <f t="shared" si="2"/>
        <v>34500</v>
      </c>
      <c r="I14" s="75">
        <f t="shared" si="2"/>
        <v>36000</v>
      </c>
      <c r="J14" s="75">
        <f t="shared" si="2"/>
        <v>37500</v>
      </c>
      <c r="K14" s="75">
        <f t="shared" si="2"/>
        <v>39000</v>
      </c>
    </row>
    <row r="15" spans="1:11">
      <c r="A15" s="74" t="s">
        <v>188</v>
      </c>
      <c r="B15" s="74" t="s">
        <v>389</v>
      </c>
      <c r="C15" s="74">
        <v>12</v>
      </c>
      <c r="D15" s="226">
        <v>15000</v>
      </c>
      <c r="E15" s="75">
        <f t="shared" si="3"/>
        <v>180000</v>
      </c>
      <c r="F15" s="75">
        <f t="shared" si="2"/>
        <v>189000</v>
      </c>
      <c r="G15" s="75">
        <f t="shared" si="2"/>
        <v>198000.00000000003</v>
      </c>
      <c r="H15" s="75">
        <f t="shared" si="2"/>
        <v>206999.99999999997</v>
      </c>
      <c r="I15" s="75">
        <f t="shared" si="2"/>
        <v>216000</v>
      </c>
      <c r="J15" s="75">
        <f t="shared" si="2"/>
        <v>225000</v>
      </c>
      <c r="K15" s="75">
        <f t="shared" si="2"/>
        <v>234000</v>
      </c>
    </row>
    <row r="16" spans="1:11">
      <c r="A16" s="74" t="s">
        <v>189</v>
      </c>
      <c r="B16" s="74" t="s">
        <v>390</v>
      </c>
      <c r="C16" s="74">
        <v>1</v>
      </c>
      <c r="D16" s="226">
        <v>100000</v>
      </c>
      <c r="E16" s="75">
        <f>$D16*E$4*$C16</f>
        <v>100000</v>
      </c>
      <c r="F16" s="75">
        <f t="shared" ref="F16:K22" si="4">$D16*F$4*$C16</f>
        <v>105000</v>
      </c>
      <c r="G16" s="75">
        <f t="shared" si="4"/>
        <v>110000.00000000001</v>
      </c>
      <c r="H16" s="75">
        <f t="shared" si="4"/>
        <v>114999.99999999999</v>
      </c>
      <c r="I16" s="75">
        <f t="shared" si="4"/>
        <v>120000</v>
      </c>
      <c r="J16" s="75">
        <f t="shared" si="4"/>
        <v>125000</v>
      </c>
      <c r="K16" s="75">
        <f t="shared" si="4"/>
        <v>130000</v>
      </c>
    </row>
    <row r="17" spans="1:17">
      <c r="A17" s="74"/>
      <c r="B17" s="74"/>
      <c r="C17" s="74"/>
      <c r="D17" s="226"/>
      <c r="E17" s="75">
        <f t="shared" ref="E17:E22" si="5">$D17*E$4*$C17</f>
        <v>0</v>
      </c>
      <c r="F17" s="75">
        <f t="shared" si="4"/>
        <v>0</v>
      </c>
      <c r="G17" s="75">
        <f t="shared" si="4"/>
        <v>0</v>
      </c>
      <c r="H17" s="75">
        <f t="shared" si="4"/>
        <v>0</v>
      </c>
      <c r="I17" s="75">
        <f t="shared" si="4"/>
        <v>0</v>
      </c>
      <c r="J17" s="75">
        <f t="shared" si="4"/>
        <v>0</v>
      </c>
      <c r="K17" s="75">
        <f t="shared" si="4"/>
        <v>0</v>
      </c>
    </row>
    <row r="18" spans="1:17">
      <c r="A18" s="74"/>
      <c r="B18" s="74"/>
      <c r="C18" s="74"/>
      <c r="D18" s="226"/>
      <c r="E18" s="75">
        <f t="shared" si="5"/>
        <v>0</v>
      </c>
      <c r="F18" s="75">
        <f t="shared" si="4"/>
        <v>0</v>
      </c>
      <c r="G18" s="75">
        <f t="shared" si="4"/>
        <v>0</v>
      </c>
      <c r="H18" s="75">
        <f t="shared" si="4"/>
        <v>0</v>
      </c>
      <c r="I18" s="75">
        <f t="shared" si="4"/>
        <v>0</v>
      </c>
      <c r="J18" s="75">
        <f t="shared" si="4"/>
        <v>0</v>
      </c>
      <c r="K18" s="75">
        <f t="shared" si="4"/>
        <v>0</v>
      </c>
    </row>
    <row r="19" spans="1:17">
      <c r="A19" s="74"/>
      <c r="B19" s="74"/>
      <c r="C19" s="74"/>
      <c r="D19" s="226"/>
      <c r="E19" s="75">
        <f t="shared" si="5"/>
        <v>0</v>
      </c>
      <c r="F19" s="75">
        <f t="shared" si="4"/>
        <v>0</v>
      </c>
      <c r="G19" s="75">
        <f t="shared" si="4"/>
        <v>0</v>
      </c>
      <c r="H19" s="75">
        <f t="shared" si="4"/>
        <v>0</v>
      </c>
      <c r="I19" s="75">
        <f t="shared" si="4"/>
        <v>0</v>
      </c>
      <c r="J19" s="75">
        <f t="shared" si="4"/>
        <v>0</v>
      </c>
      <c r="K19" s="75">
        <f t="shared" si="4"/>
        <v>0</v>
      </c>
    </row>
    <row r="20" spans="1:17">
      <c r="A20" s="74"/>
      <c r="B20" s="74"/>
      <c r="C20" s="74"/>
      <c r="D20" s="226"/>
      <c r="E20" s="75">
        <f t="shared" si="5"/>
        <v>0</v>
      </c>
      <c r="F20" s="75">
        <f t="shared" si="4"/>
        <v>0</v>
      </c>
      <c r="G20" s="75">
        <f t="shared" si="4"/>
        <v>0</v>
      </c>
      <c r="H20" s="75">
        <f t="shared" si="4"/>
        <v>0</v>
      </c>
      <c r="I20" s="75">
        <f t="shared" si="4"/>
        <v>0</v>
      </c>
      <c r="J20" s="75">
        <f t="shared" si="4"/>
        <v>0</v>
      </c>
      <c r="K20" s="75">
        <f t="shared" si="4"/>
        <v>0</v>
      </c>
    </row>
    <row r="21" spans="1:17">
      <c r="A21" s="74"/>
      <c r="B21" s="74"/>
      <c r="C21" s="74"/>
      <c r="D21" s="226"/>
      <c r="E21" s="75">
        <f t="shared" si="5"/>
        <v>0</v>
      </c>
      <c r="F21" s="75">
        <f t="shared" si="4"/>
        <v>0</v>
      </c>
      <c r="G21" s="75">
        <f t="shared" si="4"/>
        <v>0</v>
      </c>
      <c r="H21" s="75">
        <f t="shared" si="4"/>
        <v>0</v>
      </c>
      <c r="I21" s="75">
        <f t="shared" si="4"/>
        <v>0</v>
      </c>
      <c r="J21" s="75">
        <f t="shared" si="4"/>
        <v>0</v>
      </c>
      <c r="K21" s="75">
        <f t="shared" si="4"/>
        <v>0</v>
      </c>
    </row>
    <row r="22" spans="1:17">
      <c r="A22" s="74"/>
      <c r="B22" s="74"/>
      <c r="C22" s="74"/>
      <c r="D22" s="75"/>
      <c r="E22" s="75">
        <f t="shared" si="5"/>
        <v>0</v>
      </c>
      <c r="F22" s="75">
        <f t="shared" si="4"/>
        <v>0</v>
      </c>
      <c r="G22" s="75">
        <f t="shared" si="4"/>
        <v>0</v>
      </c>
      <c r="H22" s="75">
        <f t="shared" si="4"/>
        <v>0</v>
      </c>
      <c r="I22" s="75">
        <f t="shared" si="4"/>
        <v>0</v>
      </c>
      <c r="J22" s="75">
        <f t="shared" si="4"/>
        <v>0</v>
      </c>
      <c r="K22" s="75">
        <f t="shared" si="4"/>
        <v>0</v>
      </c>
    </row>
    <row r="23" spans="1:17">
      <c r="A23" s="76" t="s">
        <v>131</v>
      </c>
      <c r="B23" s="76"/>
      <c r="C23" s="76"/>
      <c r="D23" s="92"/>
      <c r="E23" s="92">
        <f>SUM(E8:E22)</f>
        <v>2032000</v>
      </c>
      <c r="F23" s="92">
        <f t="shared" ref="F23:K23" si="6">SUM(F8:F22)</f>
        <v>2133600</v>
      </c>
      <c r="G23" s="92">
        <f t="shared" si="6"/>
        <v>2235200</v>
      </c>
      <c r="H23" s="92">
        <f t="shared" si="6"/>
        <v>2336800</v>
      </c>
      <c r="I23" s="92">
        <f t="shared" si="6"/>
        <v>2438400</v>
      </c>
      <c r="J23" s="92">
        <f t="shared" si="6"/>
        <v>2540000</v>
      </c>
      <c r="K23" s="92">
        <f t="shared" si="6"/>
        <v>2641600</v>
      </c>
    </row>
    <row r="25" spans="1:17">
      <c r="A25" s="5" t="s">
        <v>713</v>
      </c>
    </row>
    <row r="28" spans="1:17">
      <c r="A28" s="382"/>
      <c r="B28" s="382"/>
      <c r="C28" s="382"/>
      <c r="D28" s="382"/>
      <c r="E28" s="382"/>
      <c r="F28" s="382"/>
      <c r="G28" s="382"/>
      <c r="H28" s="382"/>
      <c r="I28" s="382"/>
      <c r="J28" s="382"/>
      <c r="K28" s="382"/>
      <c r="L28" s="382"/>
      <c r="M28" s="382"/>
      <c r="N28" s="382"/>
      <c r="O28" s="382"/>
    </row>
    <row r="29" spans="1:17" ht="18.75">
      <c r="A29" s="380" t="s">
        <v>557</v>
      </c>
      <c r="B29" s="380"/>
      <c r="C29" s="380"/>
      <c r="D29" s="380"/>
      <c r="E29" s="380"/>
      <c r="F29" s="380"/>
      <c r="G29" s="380"/>
      <c r="H29" s="380"/>
      <c r="I29" s="380"/>
      <c r="J29" s="380"/>
      <c r="K29" s="380"/>
      <c r="L29" s="380"/>
      <c r="M29" s="380"/>
      <c r="N29" s="380"/>
      <c r="O29" s="380"/>
      <c r="P29" s="380"/>
      <c r="Q29" s="380"/>
    </row>
    <row r="30" spans="1:17">
      <c r="A30" s="126"/>
      <c r="B30" s="126"/>
      <c r="C30" s="126"/>
      <c r="D30" s="126"/>
      <c r="E30" s="126"/>
      <c r="F30" s="126"/>
      <c r="G30" s="126"/>
      <c r="H30" s="126"/>
      <c r="I30" s="126"/>
      <c r="J30" s="126"/>
      <c r="K30" s="126"/>
      <c r="L30" s="126"/>
      <c r="M30" s="126"/>
      <c r="N30" s="126"/>
      <c r="O30" s="126"/>
    </row>
    <row r="31" spans="1:17">
      <c r="A31" s="73"/>
      <c r="B31" s="73"/>
      <c r="C31" s="383" t="s">
        <v>192</v>
      </c>
      <c r="D31" s="383"/>
      <c r="E31" s="383"/>
      <c r="F31" s="383"/>
      <c r="G31" s="383"/>
      <c r="H31" s="383"/>
      <c r="I31" s="383"/>
      <c r="J31" s="73"/>
      <c r="K31" s="384" t="s">
        <v>193</v>
      </c>
      <c r="L31" s="384"/>
      <c r="M31" s="384"/>
      <c r="N31" s="384"/>
      <c r="O31" s="384"/>
      <c r="P31" s="384"/>
      <c r="Q31" s="384"/>
    </row>
    <row r="32" spans="1:17">
      <c r="A32" s="145" t="s">
        <v>0</v>
      </c>
      <c r="B32" s="139"/>
      <c r="C32" s="49" t="s">
        <v>2</v>
      </c>
      <c r="D32" s="49" t="s">
        <v>3</v>
      </c>
      <c r="E32" s="49" t="s">
        <v>4</v>
      </c>
      <c r="F32" s="49" t="s">
        <v>5</v>
      </c>
      <c r="G32" s="49" t="s">
        <v>6</v>
      </c>
      <c r="H32" s="49" t="s">
        <v>168</v>
      </c>
      <c r="I32" s="49" t="s">
        <v>167</v>
      </c>
      <c r="J32" s="146"/>
      <c r="K32" s="49" t="s">
        <v>2</v>
      </c>
      <c r="L32" s="49" t="s">
        <v>3</v>
      </c>
      <c r="M32" s="49" t="s">
        <v>4</v>
      </c>
      <c r="N32" s="49" t="s">
        <v>5</v>
      </c>
      <c r="O32" s="49" t="s">
        <v>6</v>
      </c>
      <c r="P32" s="49" t="s">
        <v>168</v>
      </c>
      <c r="Q32" s="49" t="s">
        <v>167</v>
      </c>
    </row>
    <row r="33" spans="1:17">
      <c r="A33" s="140" t="s">
        <v>194</v>
      </c>
      <c r="B33" s="74"/>
      <c r="C33" s="74"/>
      <c r="D33" s="74"/>
      <c r="E33" s="74"/>
      <c r="F33" s="74"/>
      <c r="G33" s="141"/>
      <c r="H33" s="141"/>
      <c r="I33" s="141"/>
      <c r="J33" s="74"/>
      <c r="K33" s="74"/>
      <c r="L33" s="74"/>
      <c r="M33" s="74"/>
      <c r="N33" s="74"/>
      <c r="O33" s="141"/>
      <c r="P33" s="141"/>
      <c r="Q33" s="141"/>
    </row>
    <row r="34" spans="1:17">
      <c r="A34" s="140"/>
      <c r="B34" s="74"/>
      <c r="C34" s="74"/>
      <c r="D34" s="74"/>
      <c r="E34" s="74"/>
      <c r="F34" s="74"/>
      <c r="G34" s="141"/>
      <c r="H34" s="141"/>
      <c r="I34" s="141"/>
      <c r="J34" s="74"/>
      <c r="K34" s="74"/>
      <c r="L34" s="74"/>
      <c r="M34" s="74"/>
      <c r="N34" s="74"/>
      <c r="O34" s="141"/>
      <c r="P34" s="141"/>
      <c r="Q34" s="141"/>
    </row>
    <row r="35" spans="1:17">
      <c r="A35" s="142"/>
      <c r="B35" s="142"/>
      <c r="C35" s="74"/>
      <c r="D35" s="74"/>
      <c r="E35" s="74"/>
      <c r="F35" s="74"/>
      <c r="G35" s="74"/>
      <c r="H35" s="74"/>
      <c r="I35" s="74"/>
      <c r="J35" s="74"/>
      <c r="K35" s="74"/>
      <c r="L35" s="74"/>
      <c r="M35" s="74"/>
      <c r="N35" s="74"/>
      <c r="O35" s="74"/>
      <c r="P35" s="74"/>
      <c r="Q35" s="74"/>
    </row>
    <row r="36" spans="1:17">
      <c r="A36" s="143" t="s">
        <v>198</v>
      </c>
      <c r="B36" s="143"/>
      <c r="C36" s="74"/>
      <c r="D36" s="74"/>
      <c r="E36" s="74"/>
      <c r="F36" s="74"/>
      <c r="G36" s="74"/>
      <c r="H36" s="74"/>
      <c r="I36" s="74"/>
      <c r="J36" s="74"/>
      <c r="K36" s="74"/>
      <c r="L36" s="74"/>
      <c r="M36" s="74"/>
      <c r="N36" s="74"/>
      <c r="O36" s="74"/>
      <c r="P36" s="74"/>
      <c r="Q36" s="74"/>
    </row>
    <row r="37" spans="1:17">
      <c r="A37" s="142" t="s">
        <v>195</v>
      </c>
      <c r="B37" s="142"/>
      <c r="C37" s="144">
        <f>'1.Project Cost and MOF'!D5</f>
        <v>13436807.994199999</v>
      </c>
      <c r="D37" s="144">
        <f t="shared" ref="D37:I37" si="7">C40</f>
        <v>13010861.180783859</v>
      </c>
      <c r="E37" s="144">
        <f t="shared" si="7"/>
        <v>12584914.367367718</v>
      </c>
      <c r="F37" s="144">
        <f t="shared" si="7"/>
        <v>12158967.553951578</v>
      </c>
      <c r="G37" s="144">
        <f t="shared" si="7"/>
        <v>11733020.740535438</v>
      </c>
      <c r="H37" s="144">
        <f t="shared" si="7"/>
        <v>11307073.927119298</v>
      </c>
      <c r="I37" s="144">
        <f t="shared" si="7"/>
        <v>10881127.113703158</v>
      </c>
      <c r="J37" s="74"/>
      <c r="K37" s="144">
        <f>C37</f>
        <v>13436807.994199999</v>
      </c>
      <c r="L37" s="144">
        <f t="shared" ref="L37:Q37" si="8">K40</f>
        <v>12093127.19478</v>
      </c>
      <c r="M37" s="144">
        <f t="shared" si="8"/>
        <v>10883814.475302</v>
      </c>
      <c r="N37" s="144">
        <f t="shared" si="8"/>
        <v>9795433.0277717989</v>
      </c>
      <c r="O37" s="144">
        <f t="shared" si="8"/>
        <v>8815889.7249946184</v>
      </c>
      <c r="P37" s="144">
        <f t="shared" si="8"/>
        <v>7934300.7524951566</v>
      </c>
      <c r="Q37" s="144">
        <f t="shared" si="8"/>
        <v>7140870.6772456411</v>
      </c>
    </row>
    <row r="38" spans="1:17">
      <c r="A38" s="142" t="s">
        <v>17</v>
      </c>
      <c r="B38" s="142"/>
      <c r="C38" s="144">
        <f t="shared" ref="C38:I38" si="9">$C$37*$B$74</f>
        <v>425946.81341613992</v>
      </c>
      <c r="D38" s="144">
        <f t="shared" si="9"/>
        <v>425946.81341613992</v>
      </c>
      <c r="E38" s="144">
        <f t="shared" si="9"/>
        <v>425946.81341613992</v>
      </c>
      <c r="F38" s="144">
        <f t="shared" si="9"/>
        <v>425946.81341613992</v>
      </c>
      <c r="G38" s="144">
        <f t="shared" si="9"/>
        <v>425946.81341613992</v>
      </c>
      <c r="H38" s="144">
        <f t="shared" si="9"/>
        <v>425946.81341613992</v>
      </c>
      <c r="I38" s="144">
        <f t="shared" si="9"/>
        <v>425946.81341613992</v>
      </c>
      <c r="J38" s="74"/>
      <c r="K38" s="144">
        <f t="shared" ref="K38:Q38" si="10">K37*$C$74</f>
        <v>1343680.7994200001</v>
      </c>
      <c r="L38" s="144">
        <f t="shared" si="10"/>
        <v>1209312.719478</v>
      </c>
      <c r="M38" s="144">
        <f t="shared" si="10"/>
        <v>1088381.4475302</v>
      </c>
      <c r="N38" s="144">
        <f t="shared" si="10"/>
        <v>979543.30277717998</v>
      </c>
      <c r="O38" s="144">
        <f t="shared" si="10"/>
        <v>881588.97249946184</v>
      </c>
      <c r="P38" s="144">
        <f t="shared" si="10"/>
        <v>793430.07524951571</v>
      </c>
      <c r="Q38" s="144">
        <f t="shared" si="10"/>
        <v>714087.06772456411</v>
      </c>
    </row>
    <row r="39" spans="1:17">
      <c r="A39" s="142" t="s">
        <v>196</v>
      </c>
      <c r="B39" s="142"/>
      <c r="C39" s="144">
        <f>C38</f>
        <v>425946.81341613992</v>
      </c>
      <c r="D39" s="144">
        <f t="shared" ref="D39:I39" si="11">C39+D38</f>
        <v>851893.62683227984</v>
      </c>
      <c r="E39" s="144">
        <f t="shared" si="11"/>
        <v>1277840.4402484198</v>
      </c>
      <c r="F39" s="144">
        <f t="shared" si="11"/>
        <v>1703787.2536645597</v>
      </c>
      <c r="G39" s="144">
        <f t="shared" si="11"/>
        <v>2129734.0670806998</v>
      </c>
      <c r="H39" s="144">
        <f t="shared" si="11"/>
        <v>2555680.88049684</v>
      </c>
      <c r="I39" s="144">
        <f t="shared" si="11"/>
        <v>2981627.6939129801</v>
      </c>
      <c r="J39" s="74"/>
      <c r="K39" s="144">
        <f>K38</f>
        <v>1343680.7994200001</v>
      </c>
      <c r="L39" s="144">
        <f t="shared" ref="L39:Q39" si="12">K39+L38</f>
        <v>2552993.518898</v>
      </c>
      <c r="M39" s="144">
        <f t="shared" si="12"/>
        <v>3641374.9664281998</v>
      </c>
      <c r="N39" s="144">
        <f t="shared" si="12"/>
        <v>4620918.2692053802</v>
      </c>
      <c r="O39" s="144">
        <f t="shared" si="12"/>
        <v>5502507.2417048421</v>
      </c>
      <c r="P39" s="144">
        <f t="shared" si="12"/>
        <v>6295937.3169543575</v>
      </c>
      <c r="Q39" s="144">
        <f t="shared" si="12"/>
        <v>7010024.3846789217</v>
      </c>
    </row>
    <row r="40" spans="1:17">
      <c r="A40" s="142" t="s">
        <v>197</v>
      </c>
      <c r="B40" s="142"/>
      <c r="C40" s="144">
        <f t="shared" ref="C40:I40" si="13">C37-C38</f>
        <v>13010861.180783859</v>
      </c>
      <c r="D40" s="144">
        <f t="shared" si="13"/>
        <v>12584914.367367718</v>
      </c>
      <c r="E40" s="144">
        <f t="shared" si="13"/>
        <v>12158967.553951578</v>
      </c>
      <c r="F40" s="144">
        <f t="shared" si="13"/>
        <v>11733020.740535438</v>
      </c>
      <c r="G40" s="144">
        <f t="shared" si="13"/>
        <v>11307073.927119298</v>
      </c>
      <c r="H40" s="144">
        <f t="shared" si="13"/>
        <v>10881127.113703158</v>
      </c>
      <c r="I40" s="144">
        <f t="shared" si="13"/>
        <v>10455180.300287018</v>
      </c>
      <c r="J40" s="74"/>
      <c r="K40" s="144">
        <f t="shared" ref="K40:Q40" si="14">K37-K38</f>
        <v>12093127.19478</v>
      </c>
      <c r="L40" s="144">
        <f t="shared" si="14"/>
        <v>10883814.475302</v>
      </c>
      <c r="M40" s="144">
        <f t="shared" si="14"/>
        <v>9795433.0277717989</v>
      </c>
      <c r="N40" s="144">
        <f t="shared" si="14"/>
        <v>8815889.7249946184</v>
      </c>
      <c r="O40" s="144">
        <f t="shared" si="14"/>
        <v>7934300.7524951566</v>
      </c>
      <c r="P40" s="144">
        <f t="shared" si="14"/>
        <v>7140870.6772456411</v>
      </c>
      <c r="Q40" s="144">
        <f t="shared" si="14"/>
        <v>6426783.609521077</v>
      </c>
    </row>
    <row r="41" spans="1:17">
      <c r="A41" s="142"/>
      <c r="B41" s="142"/>
      <c r="C41" s="144"/>
      <c r="D41" s="144"/>
      <c r="E41" s="144"/>
      <c r="F41" s="144"/>
      <c r="G41" s="144"/>
      <c r="H41" s="144"/>
      <c r="I41" s="144"/>
      <c r="J41" s="74"/>
      <c r="K41" s="144"/>
      <c r="L41" s="144"/>
      <c r="M41" s="144"/>
      <c r="N41" s="144"/>
      <c r="O41" s="144"/>
      <c r="P41" s="144"/>
      <c r="Q41" s="144"/>
    </row>
    <row r="42" spans="1:17">
      <c r="A42" s="143" t="s">
        <v>199</v>
      </c>
      <c r="B42" s="143"/>
      <c r="C42" s="144"/>
      <c r="D42" s="144"/>
      <c r="E42" s="144"/>
      <c r="F42" s="144"/>
      <c r="G42" s="144"/>
      <c r="H42" s="144"/>
      <c r="I42" s="144"/>
      <c r="J42" s="74"/>
      <c r="K42" s="144"/>
      <c r="L42" s="144"/>
      <c r="M42" s="144"/>
      <c r="N42" s="144"/>
      <c r="O42" s="144"/>
      <c r="P42" s="144"/>
      <c r="Q42" s="144"/>
    </row>
    <row r="43" spans="1:17">
      <c r="A43" s="142" t="s">
        <v>195</v>
      </c>
      <c r="B43" s="142"/>
      <c r="C43" s="144">
        <f>'1.Project Cost and MOF'!D6</f>
        <v>9890500</v>
      </c>
      <c r="D43" s="144">
        <f t="shared" ref="D43:I43" si="15">C46</f>
        <v>9264431.3499999996</v>
      </c>
      <c r="E43" s="144">
        <f t="shared" si="15"/>
        <v>8638362.6999999993</v>
      </c>
      <c r="F43" s="144">
        <f t="shared" si="15"/>
        <v>8012294.0499999989</v>
      </c>
      <c r="G43" s="144">
        <f t="shared" si="15"/>
        <v>7386225.3999999985</v>
      </c>
      <c r="H43" s="144">
        <f t="shared" si="15"/>
        <v>6760156.7499999981</v>
      </c>
      <c r="I43" s="144">
        <f t="shared" si="15"/>
        <v>6134088.0999999978</v>
      </c>
      <c r="J43" s="74"/>
      <c r="K43" s="144">
        <f>C43</f>
        <v>9890500</v>
      </c>
      <c r="L43" s="144">
        <f t="shared" ref="L43:Q43" si="16">K46</f>
        <v>8406925</v>
      </c>
      <c r="M43" s="144">
        <f t="shared" si="16"/>
        <v>7145886.25</v>
      </c>
      <c r="N43" s="144">
        <f t="shared" si="16"/>
        <v>6074003.3125</v>
      </c>
      <c r="O43" s="144">
        <f t="shared" si="16"/>
        <v>5162902.8156249998</v>
      </c>
      <c r="P43" s="144">
        <f t="shared" si="16"/>
        <v>4388467.3932812503</v>
      </c>
      <c r="Q43" s="144">
        <f t="shared" si="16"/>
        <v>3730197.284289063</v>
      </c>
    </row>
    <row r="44" spans="1:17">
      <c r="A44" s="142" t="s">
        <v>17</v>
      </c>
      <c r="B44" s="142"/>
      <c r="C44" s="144">
        <f t="shared" ref="C44:I44" si="17">$C$43*$B$78</f>
        <v>626068.64999999991</v>
      </c>
      <c r="D44" s="144">
        <f t="shared" si="17"/>
        <v>626068.64999999991</v>
      </c>
      <c r="E44" s="144">
        <f t="shared" si="17"/>
        <v>626068.64999999991</v>
      </c>
      <c r="F44" s="144">
        <f t="shared" si="17"/>
        <v>626068.64999999991</v>
      </c>
      <c r="G44" s="144">
        <f t="shared" si="17"/>
        <v>626068.64999999991</v>
      </c>
      <c r="H44" s="144">
        <f t="shared" si="17"/>
        <v>626068.64999999991</v>
      </c>
      <c r="I44" s="144">
        <f t="shared" si="17"/>
        <v>626068.64999999991</v>
      </c>
      <c r="J44" s="74"/>
      <c r="K44" s="144">
        <f t="shared" ref="K44:Q44" si="18">K43*$C$78</f>
        <v>1483575</v>
      </c>
      <c r="L44" s="144">
        <f t="shared" si="18"/>
        <v>1261038.75</v>
      </c>
      <c r="M44" s="144">
        <f t="shared" si="18"/>
        <v>1071882.9375</v>
      </c>
      <c r="N44" s="144">
        <f t="shared" si="18"/>
        <v>911100.49687499995</v>
      </c>
      <c r="O44" s="144">
        <f t="shared" si="18"/>
        <v>774435.4223437499</v>
      </c>
      <c r="P44" s="144">
        <f t="shared" si="18"/>
        <v>658270.10899218754</v>
      </c>
      <c r="Q44" s="144">
        <f t="shared" si="18"/>
        <v>559529.59264335944</v>
      </c>
    </row>
    <row r="45" spans="1:17">
      <c r="A45" s="142" t="s">
        <v>196</v>
      </c>
      <c r="B45" s="142"/>
      <c r="C45" s="144">
        <f>C44</f>
        <v>626068.64999999991</v>
      </c>
      <c r="D45" s="144">
        <f t="shared" ref="D45:I45" si="19">C45+D44</f>
        <v>1252137.2999999998</v>
      </c>
      <c r="E45" s="144">
        <f t="shared" si="19"/>
        <v>1878205.9499999997</v>
      </c>
      <c r="F45" s="144">
        <f t="shared" si="19"/>
        <v>2504274.5999999996</v>
      </c>
      <c r="G45" s="144">
        <f t="shared" si="19"/>
        <v>3130343.2499999995</v>
      </c>
      <c r="H45" s="144">
        <f t="shared" si="19"/>
        <v>3756411.8999999994</v>
      </c>
      <c r="I45" s="144">
        <f t="shared" si="19"/>
        <v>4382480.5499999989</v>
      </c>
      <c r="J45" s="74"/>
      <c r="K45" s="144">
        <f>K44</f>
        <v>1483575</v>
      </c>
      <c r="L45" s="144">
        <f t="shared" ref="L45:Q45" si="20">K45+L44</f>
        <v>2744613.75</v>
      </c>
      <c r="M45" s="144">
        <f t="shared" si="20"/>
        <v>3816496.6875</v>
      </c>
      <c r="N45" s="144">
        <f t="shared" si="20"/>
        <v>4727597.1843750002</v>
      </c>
      <c r="O45" s="144">
        <f t="shared" si="20"/>
        <v>5502032.6067187497</v>
      </c>
      <c r="P45" s="144">
        <f t="shared" si="20"/>
        <v>6160302.715710937</v>
      </c>
      <c r="Q45" s="144">
        <f t="shared" si="20"/>
        <v>6719832.3083542967</v>
      </c>
    </row>
    <row r="46" spans="1:17">
      <c r="A46" s="142" t="s">
        <v>197</v>
      </c>
      <c r="B46" s="142"/>
      <c r="C46" s="144">
        <f t="shared" ref="C46:I46" si="21">C43-C44</f>
        <v>9264431.3499999996</v>
      </c>
      <c r="D46" s="144">
        <f t="shared" si="21"/>
        <v>8638362.6999999993</v>
      </c>
      <c r="E46" s="144">
        <f t="shared" si="21"/>
        <v>8012294.0499999989</v>
      </c>
      <c r="F46" s="144">
        <f t="shared" si="21"/>
        <v>7386225.3999999985</v>
      </c>
      <c r="G46" s="144">
        <f t="shared" si="21"/>
        <v>6760156.7499999981</v>
      </c>
      <c r="H46" s="144">
        <f t="shared" si="21"/>
        <v>6134088.0999999978</v>
      </c>
      <c r="I46" s="144">
        <f t="shared" si="21"/>
        <v>5508019.4499999974</v>
      </c>
      <c r="J46" s="74"/>
      <c r="K46" s="144">
        <f t="shared" ref="K46:Q46" si="22">K43-K44</f>
        <v>8406925</v>
      </c>
      <c r="L46" s="144">
        <f t="shared" si="22"/>
        <v>7145886.25</v>
      </c>
      <c r="M46" s="144">
        <f t="shared" si="22"/>
        <v>6074003.3125</v>
      </c>
      <c r="N46" s="144">
        <f t="shared" si="22"/>
        <v>5162902.8156249998</v>
      </c>
      <c r="O46" s="144">
        <f t="shared" si="22"/>
        <v>4388467.3932812503</v>
      </c>
      <c r="P46" s="144">
        <f t="shared" si="22"/>
        <v>3730197.284289063</v>
      </c>
      <c r="Q46" s="144">
        <f t="shared" si="22"/>
        <v>3170667.6916457033</v>
      </c>
    </row>
    <row r="47" spans="1:17">
      <c r="A47" s="142"/>
      <c r="B47" s="142"/>
      <c r="C47" s="144"/>
      <c r="D47" s="144"/>
      <c r="E47" s="144"/>
      <c r="F47" s="144"/>
      <c r="G47" s="144"/>
      <c r="H47" s="144"/>
      <c r="I47" s="144"/>
      <c r="J47" s="74"/>
      <c r="K47" s="144"/>
      <c r="L47" s="144"/>
      <c r="M47" s="144"/>
      <c r="N47" s="144"/>
      <c r="O47" s="144"/>
      <c r="P47" s="144"/>
      <c r="Q47" s="144"/>
    </row>
    <row r="48" spans="1:17">
      <c r="A48" s="143" t="s">
        <v>200</v>
      </c>
      <c r="B48" s="143"/>
      <c r="C48" s="144"/>
      <c r="D48" s="144"/>
      <c r="E48" s="144"/>
      <c r="F48" s="144"/>
      <c r="G48" s="144"/>
      <c r="H48" s="144"/>
      <c r="I48" s="144"/>
      <c r="J48" s="74"/>
      <c r="K48" s="144"/>
      <c r="L48" s="144"/>
      <c r="M48" s="144"/>
      <c r="N48" s="144"/>
      <c r="O48" s="144"/>
      <c r="P48" s="144"/>
      <c r="Q48" s="144"/>
    </row>
    <row r="49" spans="1:17">
      <c r="A49" s="142" t="s">
        <v>195</v>
      </c>
      <c r="B49" s="142"/>
      <c r="C49" s="144">
        <f>'1.Project Cost and MOF'!D7</f>
        <v>187000</v>
      </c>
      <c r="D49" s="144">
        <f t="shared" ref="D49:I49" si="23">C52</f>
        <v>168300</v>
      </c>
      <c r="E49" s="144">
        <f t="shared" si="23"/>
        <v>149600</v>
      </c>
      <c r="F49" s="144">
        <f t="shared" si="23"/>
        <v>130900</v>
      </c>
      <c r="G49" s="144">
        <f t="shared" si="23"/>
        <v>112200</v>
      </c>
      <c r="H49" s="144">
        <f t="shared" si="23"/>
        <v>93500</v>
      </c>
      <c r="I49" s="144">
        <f t="shared" si="23"/>
        <v>74800</v>
      </c>
      <c r="J49" s="74"/>
      <c r="K49" s="144">
        <f>C49</f>
        <v>187000</v>
      </c>
      <c r="L49" s="144">
        <f t="shared" ref="L49:Q49" si="24">K52</f>
        <v>168300</v>
      </c>
      <c r="M49" s="144">
        <f t="shared" si="24"/>
        <v>151470</v>
      </c>
      <c r="N49" s="144">
        <f t="shared" si="24"/>
        <v>136323</v>
      </c>
      <c r="O49" s="144">
        <f t="shared" si="24"/>
        <v>122690.7</v>
      </c>
      <c r="P49" s="144">
        <f t="shared" si="24"/>
        <v>110421.63</v>
      </c>
      <c r="Q49" s="144">
        <f t="shared" si="24"/>
        <v>99379.467000000004</v>
      </c>
    </row>
    <row r="50" spans="1:17">
      <c r="A50" s="142" t="s">
        <v>17</v>
      </c>
      <c r="B50" s="142"/>
      <c r="C50" s="144">
        <f t="shared" ref="C50:I50" si="25">$C$49*$B$75</f>
        <v>18700</v>
      </c>
      <c r="D50" s="144">
        <f t="shared" si="25"/>
        <v>18700</v>
      </c>
      <c r="E50" s="144">
        <f t="shared" si="25"/>
        <v>18700</v>
      </c>
      <c r="F50" s="144">
        <f t="shared" si="25"/>
        <v>18700</v>
      </c>
      <c r="G50" s="144">
        <f t="shared" si="25"/>
        <v>18700</v>
      </c>
      <c r="H50" s="144">
        <f t="shared" si="25"/>
        <v>18700</v>
      </c>
      <c r="I50" s="144">
        <f t="shared" si="25"/>
        <v>18700</v>
      </c>
      <c r="J50" s="74"/>
      <c r="K50" s="144">
        <f t="shared" ref="K50:Q50" si="26">K49*$C$75</f>
        <v>18700</v>
      </c>
      <c r="L50" s="144">
        <f t="shared" si="26"/>
        <v>16830</v>
      </c>
      <c r="M50" s="144">
        <f t="shared" si="26"/>
        <v>15147</v>
      </c>
      <c r="N50" s="144">
        <f t="shared" si="26"/>
        <v>13632.300000000001</v>
      </c>
      <c r="O50" s="144">
        <f t="shared" si="26"/>
        <v>12269.07</v>
      </c>
      <c r="P50" s="144">
        <f t="shared" si="26"/>
        <v>11042.163</v>
      </c>
      <c r="Q50" s="144">
        <f t="shared" si="26"/>
        <v>9937.9467000000004</v>
      </c>
    </row>
    <row r="51" spans="1:17">
      <c r="A51" s="142" t="s">
        <v>196</v>
      </c>
      <c r="B51" s="142"/>
      <c r="C51" s="144">
        <f>C50</f>
        <v>18700</v>
      </c>
      <c r="D51" s="144">
        <f t="shared" ref="D51:I51" si="27">C51+D50</f>
        <v>37400</v>
      </c>
      <c r="E51" s="144">
        <f t="shared" si="27"/>
        <v>56100</v>
      </c>
      <c r="F51" s="144">
        <f t="shared" si="27"/>
        <v>74800</v>
      </c>
      <c r="G51" s="144">
        <f t="shared" si="27"/>
        <v>93500</v>
      </c>
      <c r="H51" s="144">
        <f t="shared" si="27"/>
        <v>112200</v>
      </c>
      <c r="I51" s="144">
        <f t="shared" si="27"/>
        <v>130900</v>
      </c>
      <c r="J51" s="74"/>
      <c r="K51" s="144">
        <f>K50</f>
        <v>18700</v>
      </c>
      <c r="L51" s="144">
        <f t="shared" ref="L51:Q51" si="28">K51+L50</f>
        <v>35530</v>
      </c>
      <c r="M51" s="144">
        <f t="shared" si="28"/>
        <v>50677</v>
      </c>
      <c r="N51" s="144">
        <f t="shared" si="28"/>
        <v>64309.3</v>
      </c>
      <c r="O51" s="144">
        <f t="shared" si="28"/>
        <v>76578.37</v>
      </c>
      <c r="P51" s="144">
        <f t="shared" si="28"/>
        <v>87620.532999999996</v>
      </c>
      <c r="Q51" s="144">
        <f t="shared" si="28"/>
        <v>97558.479699999996</v>
      </c>
    </row>
    <row r="52" spans="1:17">
      <c r="A52" s="142" t="s">
        <v>197</v>
      </c>
      <c r="B52" s="142"/>
      <c r="C52" s="144">
        <f t="shared" ref="C52:I52" si="29">C49-C50</f>
        <v>168300</v>
      </c>
      <c r="D52" s="144">
        <f t="shared" si="29"/>
        <v>149600</v>
      </c>
      <c r="E52" s="144">
        <f t="shared" si="29"/>
        <v>130900</v>
      </c>
      <c r="F52" s="144">
        <f t="shared" si="29"/>
        <v>112200</v>
      </c>
      <c r="G52" s="144">
        <f t="shared" si="29"/>
        <v>93500</v>
      </c>
      <c r="H52" s="144">
        <f t="shared" si="29"/>
        <v>74800</v>
      </c>
      <c r="I52" s="144">
        <f t="shared" si="29"/>
        <v>56100</v>
      </c>
      <c r="J52" s="74"/>
      <c r="K52" s="144">
        <f t="shared" ref="K52:Q52" si="30">K49-K50</f>
        <v>168300</v>
      </c>
      <c r="L52" s="144">
        <f t="shared" si="30"/>
        <v>151470</v>
      </c>
      <c r="M52" s="144">
        <f t="shared" si="30"/>
        <v>136323</v>
      </c>
      <c r="N52" s="144">
        <f t="shared" si="30"/>
        <v>122690.7</v>
      </c>
      <c r="O52" s="144">
        <f t="shared" si="30"/>
        <v>110421.63</v>
      </c>
      <c r="P52" s="144">
        <f t="shared" si="30"/>
        <v>99379.467000000004</v>
      </c>
      <c r="Q52" s="144">
        <f t="shared" si="30"/>
        <v>89441.520300000004</v>
      </c>
    </row>
    <row r="53" spans="1:17">
      <c r="A53" s="142"/>
      <c r="B53" s="142"/>
      <c r="C53" s="144"/>
      <c r="D53" s="144"/>
      <c r="E53" s="144"/>
      <c r="F53" s="144"/>
      <c r="G53" s="144"/>
      <c r="H53" s="144"/>
      <c r="I53" s="144"/>
      <c r="J53" s="74"/>
      <c r="K53" s="144"/>
      <c r="L53" s="144"/>
      <c r="M53" s="144"/>
      <c r="N53" s="144"/>
      <c r="O53" s="144"/>
      <c r="P53" s="144"/>
      <c r="Q53" s="144"/>
    </row>
    <row r="54" spans="1:17">
      <c r="A54" s="143" t="s">
        <v>158</v>
      </c>
      <c r="B54" s="143"/>
      <c r="C54" s="144"/>
      <c r="D54" s="144"/>
      <c r="E54" s="144"/>
      <c r="F54" s="144"/>
      <c r="G54" s="144"/>
      <c r="H54" s="144"/>
      <c r="I54" s="144"/>
      <c r="J54" s="74"/>
      <c r="K54" s="144"/>
      <c r="L54" s="144"/>
      <c r="M54" s="144"/>
      <c r="N54" s="144"/>
      <c r="O54" s="144"/>
      <c r="P54" s="144"/>
      <c r="Q54" s="144"/>
    </row>
    <row r="55" spans="1:17">
      <c r="A55" s="142" t="s">
        <v>195</v>
      </c>
      <c r="B55" s="142"/>
      <c r="C55" s="144">
        <f>'1.Project Cost and MOF'!D9</f>
        <v>0</v>
      </c>
      <c r="D55" s="144">
        <f t="shared" ref="D55:I55" si="31">C58</f>
        <v>0</v>
      </c>
      <c r="E55" s="144">
        <f t="shared" si="31"/>
        <v>0</v>
      </c>
      <c r="F55" s="144">
        <f t="shared" si="31"/>
        <v>0</v>
      </c>
      <c r="G55" s="144">
        <f t="shared" si="31"/>
        <v>0</v>
      </c>
      <c r="H55" s="144">
        <f t="shared" si="31"/>
        <v>0</v>
      </c>
      <c r="I55" s="144">
        <f t="shared" si="31"/>
        <v>0</v>
      </c>
      <c r="J55" s="74"/>
      <c r="K55" s="144">
        <f>C55</f>
        <v>0</v>
      </c>
      <c r="L55" s="144">
        <f t="shared" ref="L55:Q55" si="32">K58</f>
        <v>0</v>
      </c>
      <c r="M55" s="144">
        <f t="shared" si="32"/>
        <v>0</v>
      </c>
      <c r="N55" s="144">
        <f t="shared" si="32"/>
        <v>0</v>
      </c>
      <c r="O55" s="144">
        <f t="shared" si="32"/>
        <v>0</v>
      </c>
      <c r="P55" s="144">
        <f t="shared" si="32"/>
        <v>0</v>
      </c>
      <c r="Q55" s="144">
        <f t="shared" si="32"/>
        <v>0</v>
      </c>
    </row>
    <row r="56" spans="1:17">
      <c r="A56" s="142" t="s">
        <v>17</v>
      </c>
      <c r="B56" s="142"/>
      <c r="C56" s="144">
        <f t="shared" ref="C56:I56" si="33">$C$55*$B$77</f>
        <v>0</v>
      </c>
      <c r="D56" s="144">
        <f t="shared" si="33"/>
        <v>0</v>
      </c>
      <c r="E56" s="144">
        <f t="shared" si="33"/>
        <v>0</v>
      </c>
      <c r="F56" s="144">
        <f t="shared" si="33"/>
        <v>0</v>
      </c>
      <c r="G56" s="144">
        <f t="shared" si="33"/>
        <v>0</v>
      </c>
      <c r="H56" s="144">
        <f t="shared" si="33"/>
        <v>0</v>
      </c>
      <c r="I56" s="144">
        <f t="shared" si="33"/>
        <v>0</v>
      </c>
      <c r="J56" s="74"/>
      <c r="K56" s="144">
        <f t="shared" ref="K56:Q56" si="34">K55*$C$77</f>
        <v>0</v>
      </c>
      <c r="L56" s="144">
        <f t="shared" si="34"/>
        <v>0</v>
      </c>
      <c r="M56" s="144">
        <f t="shared" si="34"/>
        <v>0</v>
      </c>
      <c r="N56" s="144">
        <f t="shared" si="34"/>
        <v>0</v>
      </c>
      <c r="O56" s="144">
        <f t="shared" si="34"/>
        <v>0</v>
      </c>
      <c r="P56" s="144">
        <f t="shared" si="34"/>
        <v>0</v>
      </c>
      <c r="Q56" s="144">
        <f t="shared" si="34"/>
        <v>0</v>
      </c>
    </row>
    <row r="57" spans="1:17">
      <c r="A57" s="142" t="s">
        <v>196</v>
      </c>
      <c r="B57" s="142"/>
      <c r="C57" s="144">
        <f>C56</f>
        <v>0</v>
      </c>
      <c r="D57" s="144">
        <f t="shared" ref="D57:I57" si="35">C57+D56</f>
        <v>0</v>
      </c>
      <c r="E57" s="144">
        <f t="shared" si="35"/>
        <v>0</v>
      </c>
      <c r="F57" s="144">
        <f t="shared" si="35"/>
        <v>0</v>
      </c>
      <c r="G57" s="144">
        <f t="shared" si="35"/>
        <v>0</v>
      </c>
      <c r="H57" s="144">
        <f t="shared" si="35"/>
        <v>0</v>
      </c>
      <c r="I57" s="144">
        <f t="shared" si="35"/>
        <v>0</v>
      </c>
      <c r="J57" s="74"/>
      <c r="K57" s="144">
        <f>K56</f>
        <v>0</v>
      </c>
      <c r="L57" s="144">
        <f t="shared" ref="L57:Q57" si="36">K57+L56</f>
        <v>0</v>
      </c>
      <c r="M57" s="144">
        <f t="shared" si="36"/>
        <v>0</v>
      </c>
      <c r="N57" s="144">
        <f t="shared" si="36"/>
        <v>0</v>
      </c>
      <c r="O57" s="144">
        <f t="shared" si="36"/>
        <v>0</v>
      </c>
      <c r="P57" s="144">
        <f t="shared" si="36"/>
        <v>0</v>
      </c>
      <c r="Q57" s="144">
        <f t="shared" si="36"/>
        <v>0</v>
      </c>
    </row>
    <row r="58" spans="1:17">
      <c r="A58" s="142" t="s">
        <v>197</v>
      </c>
      <c r="B58" s="142"/>
      <c r="C58" s="144">
        <f t="shared" ref="C58:I58" si="37">C55-C56</f>
        <v>0</v>
      </c>
      <c r="D58" s="144">
        <f t="shared" si="37"/>
        <v>0</v>
      </c>
      <c r="E58" s="144">
        <f t="shared" si="37"/>
        <v>0</v>
      </c>
      <c r="F58" s="144">
        <f t="shared" si="37"/>
        <v>0</v>
      </c>
      <c r="G58" s="144">
        <f t="shared" si="37"/>
        <v>0</v>
      </c>
      <c r="H58" s="144">
        <f t="shared" si="37"/>
        <v>0</v>
      </c>
      <c r="I58" s="144">
        <f t="shared" si="37"/>
        <v>0</v>
      </c>
      <c r="J58" s="74"/>
      <c r="K58" s="144">
        <f t="shared" ref="K58:Q58" si="38">K55-K56</f>
        <v>0</v>
      </c>
      <c r="L58" s="144">
        <f t="shared" si="38"/>
        <v>0</v>
      </c>
      <c r="M58" s="144">
        <f t="shared" si="38"/>
        <v>0</v>
      </c>
      <c r="N58" s="144">
        <f t="shared" si="38"/>
        <v>0</v>
      </c>
      <c r="O58" s="144">
        <f t="shared" si="38"/>
        <v>0</v>
      </c>
      <c r="P58" s="144">
        <f t="shared" si="38"/>
        <v>0</v>
      </c>
      <c r="Q58" s="144">
        <f t="shared" si="38"/>
        <v>0</v>
      </c>
    </row>
    <row r="59" spans="1:17">
      <c r="A59" s="142"/>
      <c r="B59" s="142"/>
      <c r="C59" s="144"/>
      <c r="D59" s="144"/>
      <c r="E59" s="144"/>
      <c r="F59" s="144"/>
      <c r="G59" s="144"/>
      <c r="H59" s="144"/>
      <c r="I59" s="144"/>
      <c r="J59" s="74"/>
      <c r="K59" s="144"/>
      <c r="L59" s="144"/>
      <c r="M59" s="144"/>
      <c r="N59" s="144"/>
      <c r="O59" s="144"/>
      <c r="P59" s="144"/>
      <c r="Q59" s="144"/>
    </row>
    <row r="60" spans="1:17">
      <c r="A60" s="287" t="s">
        <v>329</v>
      </c>
      <c r="B60" s="142"/>
      <c r="C60" s="144"/>
      <c r="D60" s="144"/>
      <c r="E60" s="144"/>
      <c r="F60" s="144"/>
      <c r="G60" s="144"/>
      <c r="H60" s="144"/>
      <c r="I60" s="144"/>
      <c r="J60" s="74"/>
      <c r="K60" s="144"/>
      <c r="L60" s="144"/>
      <c r="M60" s="144"/>
      <c r="N60" s="144"/>
      <c r="O60" s="144"/>
      <c r="P60" s="144"/>
      <c r="Q60" s="144"/>
    </row>
    <row r="61" spans="1:17">
      <c r="A61" s="142" t="str">
        <f>A55</f>
        <v>Asset Value</v>
      </c>
      <c r="B61" s="142"/>
      <c r="C61" s="144">
        <f>'1.Project Cost and MOF'!D8</f>
        <v>78000</v>
      </c>
      <c r="D61" s="144">
        <f t="shared" ref="D61:I61" si="39">C64</f>
        <v>70200</v>
      </c>
      <c r="E61" s="144">
        <f t="shared" si="39"/>
        <v>62400</v>
      </c>
      <c r="F61" s="144">
        <f t="shared" si="39"/>
        <v>54600</v>
      </c>
      <c r="G61" s="144">
        <f t="shared" si="39"/>
        <v>46800</v>
      </c>
      <c r="H61" s="144">
        <f t="shared" si="39"/>
        <v>39000</v>
      </c>
      <c r="I61" s="144">
        <f t="shared" si="39"/>
        <v>31200</v>
      </c>
      <c r="J61" s="74"/>
      <c r="K61" s="144">
        <f>C61</f>
        <v>78000</v>
      </c>
      <c r="L61" s="144">
        <f t="shared" ref="L61:Q61" si="40">K64</f>
        <v>46800</v>
      </c>
      <c r="M61" s="144">
        <f t="shared" si="40"/>
        <v>28080</v>
      </c>
      <c r="N61" s="144">
        <f t="shared" si="40"/>
        <v>16848</v>
      </c>
      <c r="O61" s="144">
        <f t="shared" si="40"/>
        <v>10108.799999999999</v>
      </c>
      <c r="P61" s="144">
        <f t="shared" si="40"/>
        <v>6065.2799999999988</v>
      </c>
      <c r="Q61" s="144">
        <f t="shared" si="40"/>
        <v>3639.1679999999992</v>
      </c>
    </row>
    <row r="62" spans="1:17">
      <c r="A62" s="142" t="str">
        <f>A56</f>
        <v>Depreciation</v>
      </c>
      <c r="B62" s="142"/>
      <c r="C62" s="144">
        <f t="shared" ref="C62:I62" si="41">$C$61*$B$76</f>
        <v>7800</v>
      </c>
      <c r="D62" s="144">
        <f t="shared" si="41"/>
        <v>7800</v>
      </c>
      <c r="E62" s="144">
        <f t="shared" si="41"/>
        <v>7800</v>
      </c>
      <c r="F62" s="144">
        <f t="shared" si="41"/>
        <v>7800</v>
      </c>
      <c r="G62" s="144">
        <f t="shared" si="41"/>
        <v>7800</v>
      </c>
      <c r="H62" s="144">
        <f t="shared" si="41"/>
        <v>7800</v>
      </c>
      <c r="I62" s="144">
        <f t="shared" si="41"/>
        <v>7800</v>
      </c>
      <c r="J62" s="74"/>
      <c r="K62" s="144">
        <f t="shared" ref="K62:Q62" si="42">K61*$C$76</f>
        <v>31200</v>
      </c>
      <c r="L62" s="144">
        <f t="shared" si="42"/>
        <v>18720</v>
      </c>
      <c r="M62" s="144">
        <f t="shared" si="42"/>
        <v>11232</v>
      </c>
      <c r="N62" s="144">
        <f t="shared" si="42"/>
        <v>6739.2000000000007</v>
      </c>
      <c r="O62" s="144">
        <f t="shared" si="42"/>
        <v>4043.52</v>
      </c>
      <c r="P62" s="144">
        <f t="shared" si="42"/>
        <v>2426.1119999999996</v>
      </c>
      <c r="Q62" s="144">
        <f t="shared" si="42"/>
        <v>1455.6671999999999</v>
      </c>
    </row>
    <row r="63" spans="1:17">
      <c r="A63" s="142" t="str">
        <f>A57</f>
        <v>Accumulated Depreciation</v>
      </c>
      <c r="B63" s="142"/>
      <c r="C63" s="144">
        <f>C62</f>
        <v>7800</v>
      </c>
      <c r="D63" s="144">
        <f t="shared" ref="D63:I63" si="43">D62+C63</f>
        <v>15600</v>
      </c>
      <c r="E63" s="144">
        <f t="shared" si="43"/>
        <v>23400</v>
      </c>
      <c r="F63" s="144">
        <f t="shared" si="43"/>
        <v>31200</v>
      </c>
      <c r="G63" s="144">
        <f t="shared" si="43"/>
        <v>39000</v>
      </c>
      <c r="H63" s="144">
        <f t="shared" si="43"/>
        <v>46800</v>
      </c>
      <c r="I63" s="144">
        <f t="shared" si="43"/>
        <v>54600</v>
      </c>
      <c r="J63" s="74"/>
      <c r="K63" s="144">
        <f>K62</f>
        <v>31200</v>
      </c>
      <c r="L63" s="144">
        <f t="shared" ref="L63:Q63" si="44">L62+K63</f>
        <v>49920</v>
      </c>
      <c r="M63" s="144">
        <f t="shared" si="44"/>
        <v>61152</v>
      </c>
      <c r="N63" s="144">
        <f t="shared" si="44"/>
        <v>67891.199999999997</v>
      </c>
      <c r="O63" s="144">
        <f t="shared" si="44"/>
        <v>71934.720000000001</v>
      </c>
      <c r="P63" s="144">
        <f t="shared" si="44"/>
        <v>74360.831999999995</v>
      </c>
      <c r="Q63" s="144">
        <f t="shared" si="44"/>
        <v>75816.499199999991</v>
      </c>
    </row>
    <row r="64" spans="1:17">
      <c r="A64" s="142" t="str">
        <f>A58</f>
        <v>Net Fixed Assets</v>
      </c>
      <c r="B64" s="142"/>
      <c r="C64" s="144">
        <f t="shared" ref="C64:I64" si="45">C61-C62</f>
        <v>70200</v>
      </c>
      <c r="D64" s="144">
        <f t="shared" si="45"/>
        <v>62400</v>
      </c>
      <c r="E64" s="144">
        <f t="shared" si="45"/>
        <v>54600</v>
      </c>
      <c r="F64" s="144">
        <f t="shared" si="45"/>
        <v>46800</v>
      </c>
      <c r="G64" s="144">
        <f t="shared" si="45"/>
        <v>39000</v>
      </c>
      <c r="H64" s="144">
        <f t="shared" si="45"/>
        <v>31200</v>
      </c>
      <c r="I64" s="144">
        <f t="shared" si="45"/>
        <v>23400</v>
      </c>
      <c r="J64" s="74"/>
      <c r="K64" s="144">
        <f t="shared" ref="K64:Q64" si="46">K61-K62</f>
        <v>46800</v>
      </c>
      <c r="L64" s="144">
        <f t="shared" si="46"/>
        <v>28080</v>
      </c>
      <c r="M64" s="144">
        <f t="shared" si="46"/>
        <v>16848</v>
      </c>
      <c r="N64" s="144">
        <f t="shared" si="46"/>
        <v>10108.799999999999</v>
      </c>
      <c r="O64" s="144">
        <f t="shared" si="46"/>
        <v>6065.2799999999988</v>
      </c>
      <c r="P64" s="144">
        <f t="shared" si="46"/>
        <v>3639.1679999999992</v>
      </c>
      <c r="Q64" s="144">
        <f t="shared" si="46"/>
        <v>2183.5007999999993</v>
      </c>
    </row>
    <row r="65" spans="1:17">
      <c r="A65" s="143" t="s">
        <v>201</v>
      </c>
      <c r="B65" s="143"/>
      <c r="C65" s="138">
        <f t="shared" ref="C65:I68" si="47">C49+C43+C37+C55+C61</f>
        <v>23592307.994199999</v>
      </c>
      <c r="D65" s="138">
        <f t="shared" si="47"/>
        <v>22513792.530783858</v>
      </c>
      <c r="E65" s="138">
        <f t="shared" si="47"/>
        <v>21435277.067367718</v>
      </c>
      <c r="F65" s="138">
        <f t="shared" si="47"/>
        <v>20356761.603951577</v>
      </c>
      <c r="G65" s="138">
        <f t="shared" si="47"/>
        <v>19278246.140535437</v>
      </c>
      <c r="H65" s="138">
        <f t="shared" si="47"/>
        <v>18199730.677119296</v>
      </c>
      <c r="I65" s="138">
        <f t="shared" si="47"/>
        <v>17121215.213703156</v>
      </c>
      <c r="J65" s="74"/>
      <c r="K65" s="138">
        <f t="shared" ref="K65:Q68" si="48">K49+K43+K37+K55+K61</f>
        <v>23592307.994199999</v>
      </c>
      <c r="L65" s="138">
        <f t="shared" si="48"/>
        <v>20715152.19478</v>
      </c>
      <c r="M65" s="138">
        <f t="shared" si="48"/>
        <v>18209250.725302</v>
      </c>
      <c r="N65" s="138">
        <f t="shared" si="48"/>
        <v>16022607.340271799</v>
      </c>
      <c r="O65" s="138">
        <f t="shared" si="48"/>
        <v>14111592.040619619</v>
      </c>
      <c r="P65" s="138">
        <f t="shared" si="48"/>
        <v>12439255.055776406</v>
      </c>
      <c r="Q65" s="138">
        <f t="shared" si="48"/>
        <v>10974086.596534705</v>
      </c>
    </row>
    <row r="66" spans="1:17">
      <c r="A66" s="143" t="s">
        <v>202</v>
      </c>
      <c r="B66" s="143"/>
      <c r="C66" s="138">
        <f t="shared" si="47"/>
        <v>1078515.4634161398</v>
      </c>
      <c r="D66" s="138">
        <f t="shared" si="47"/>
        <v>1078515.4634161398</v>
      </c>
      <c r="E66" s="138">
        <f t="shared" si="47"/>
        <v>1078515.4634161398</v>
      </c>
      <c r="F66" s="138">
        <f t="shared" si="47"/>
        <v>1078515.4634161398</v>
      </c>
      <c r="G66" s="138">
        <f t="shared" si="47"/>
        <v>1078515.4634161398</v>
      </c>
      <c r="H66" s="138">
        <f t="shared" si="47"/>
        <v>1078515.4634161398</v>
      </c>
      <c r="I66" s="138">
        <f t="shared" si="47"/>
        <v>1078515.4634161398</v>
      </c>
      <c r="J66" s="74"/>
      <c r="K66" s="138">
        <f t="shared" si="48"/>
        <v>2877155.7994200001</v>
      </c>
      <c r="L66" s="138">
        <f t="shared" si="48"/>
        <v>2505901.469478</v>
      </c>
      <c r="M66" s="138">
        <f t="shared" si="48"/>
        <v>2186643.3850301998</v>
      </c>
      <c r="N66" s="138">
        <f t="shared" si="48"/>
        <v>1911015.2996521799</v>
      </c>
      <c r="O66" s="138">
        <f t="shared" si="48"/>
        <v>1672336.9848432117</v>
      </c>
      <c r="P66" s="138">
        <f t="shared" si="48"/>
        <v>1465168.4592417032</v>
      </c>
      <c r="Q66" s="138">
        <f t="shared" si="48"/>
        <v>1285010.2742679236</v>
      </c>
    </row>
    <row r="67" spans="1:17">
      <c r="A67" s="143" t="s">
        <v>203</v>
      </c>
      <c r="B67" s="143"/>
      <c r="C67" s="138">
        <f t="shared" si="47"/>
        <v>1078515.4634161398</v>
      </c>
      <c r="D67" s="138">
        <f t="shared" si="47"/>
        <v>2157030.9268322797</v>
      </c>
      <c r="E67" s="138">
        <f t="shared" si="47"/>
        <v>3235546.3902484197</v>
      </c>
      <c r="F67" s="138">
        <f t="shared" si="47"/>
        <v>4314061.8536645593</v>
      </c>
      <c r="G67" s="138">
        <f t="shared" si="47"/>
        <v>5392577.3170806989</v>
      </c>
      <c r="H67" s="138">
        <f t="shared" si="47"/>
        <v>6471092.7804968394</v>
      </c>
      <c r="I67" s="138">
        <f t="shared" si="47"/>
        <v>7549608.243912979</v>
      </c>
      <c r="J67" s="74"/>
      <c r="K67" s="138">
        <f t="shared" si="48"/>
        <v>2877155.7994200001</v>
      </c>
      <c r="L67" s="138">
        <f t="shared" si="48"/>
        <v>5383057.268898</v>
      </c>
      <c r="M67" s="138">
        <f t="shared" si="48"/>
        <v>7569700.6539281998</v>
      </c>
      <c r="N67" s="138">
        <f t="shared" si="48"/>
        <v>9480715.9535803795</v>
      </c>
      <c r="O67" s="138">
        <f t="shared" si="48"/>
        <v>11153052.938423593</v>
      </c>
      <c r="P67" s="138">
        <f t="shared" si="48"/>
        <v>12618221.397665294</v>
      </c>
      <c r="Q67" s="138">
        <f t="shared" si="48"/>
        <v>13903231.671933217</v>
      </c>
    </row>
    <row r="68" spans="1:17">
      <c r="A68" s="143" t="s">
        <v>197</v>
      </c>
      <c r="B68" s="143"/>
      <c r="C68" s="138">
        <f t="shared" si="47"/>
        <v>22513792.530783858</v>
      </c>
      <c r="D68" s="138">
        <f t="shared" si="47"/>
        <v>21435277.067367718</v>
      </c>
      <c r="E68" s="138">
        <f t="shared" si="47"/>
        <v>20356761.603951577</v>
      </c>
      <c r="F68" s="138">
        <f t="shared" si="47"/>
        <v>19278246.140535437</v>
      </c>
      <c r="G68" s="138">
        <f t="shared" si="47"/>
        <v>18199730.677119296</v>
      </c>
      <c r="H68" s="138">
        <f t="shared" si="47"/>
        <v>17121215.213703156</v>
      </c>
      <c r="I68" s="138">
        <f t="shared" si="47"/>
        <v>16042699.750287015</v>
      </c>
      <c r="J68" s="74"/>
      <c r="K68" s="138">
        <f t="shared" si="48"/>
        <v>20715152.19478</v>
      </c>
      <c r="L68" s="138">
        <f t="shared" si="48"/>
        <v>18209250.725302</v>
      </c>
      <c r="M68" s="138">
        <f t="shared" si="48"/>
        <v>16022607.340271799</v>
      </c>
      <c r="N68" s="138">
        <f t="shared" si="48"/>
        <v>14111592.040619619</v>
      </c>
      <c r="O68" s="138">
        <f t="shared" si="48"/>
        <v>12439255.055776406</v>
      </c>
      <c r="P68" s="138">
        <f t="shared" si="48"/>
        <v>10974086.596534705</v>
      </c>
      <c r="Q68" s="138">
        <f t="shared" si="48"/>
        <v>9689076.3222667817</v>
      </c>
    </row>
    <row r="69" spans="1:17">
      <c r="A69" s="147"/>
      <c r="B69" s="147"/>
      <c r="C69" s="148"/>
      <c r="D69" s="148"/>
      <c r="E69" s="148"/>
      <c r="F69" s="148"/>
      <c r="G69" s="148"/>
      <c r="H69" s="148"/>
      <c r="I69" s="148"/>
      <c r="J69" s="73"/>
    </row>
    <row r="70" spans="1:17">
      <c r="A70" s="73"/>
      <c r="B70" s="73"/>
      <c r="C70" s="73"/>
      <c r="D70" s="73"/>
      <c r="E70" s="73"/>
      <c r="F70" s="73"/>
      <c r="G70" s="73"/>
      <c r="H70" s="73"/>
      <c r="I70" s="73"/>
      <c r="J70" s="73"/>
    </row>
    <row r="71" spans="1:17" ht="43.5">
      <c r="A71" s="149" t="s">
        <v>204</v>
      </c>
      <c r="B71" s="152" t="s">
        <v>690</v>
      </c>
      <c r="C71" s="152" t="s">
        <v>691</v>
      </c>
      <c r="D71" s="73"/>
      <c r="E71" s="73"/>
      <c r="F71" s="73"/>
      <c r="G71" s="73"/>
      <c r="H71" s="73"/>
      <c r="I71" s="73"/>
      <c r="J71" s="73"/>
    </row>
    <row r="72" spans="1:17" ht="29.25">
      <c r="A72" s="152" t="s">
        <v>205</v>
      </c>
      <c r="B72" s="150" t="s">
        <v>206</v>
      </c>
      <c r="C72" s="151" t="s">
        <v>207</v>
      </c>
      <c r="D72" s="73"/>
      <c r="E72" s="73"/>
      <c r="F72" s="73"/>
      <c r="G72" s="73"/>
      <c r="H72" s="73"/>
      <c r="I72" s="73"/>
      <c r="J72" s="73"/>
    </row>
    <row r="73" spans="1:17">
      <c r="A73" s="152" t="s">
        <v>148</v>
      </c>
      <c r="B73" s="153">
        <v>0</v>
      </c>
      <c r="C73" s="153">
        <v>0</v>
      </c>
      <c r="D73" s="73"/>
      <c r="E73" s="73"/>
      <c r="F73" s="73"/>
      <c r="G73" s="73"/>
      <c r="H73" s="73"/>
      <c r="I73" s="73"/>
      <c r="J73" s="73"/>
    </row>
    <row r="74" spans="1:17">
      <c r="A74" s="154" t="s">
        <v>198</v>
      </c>
      <c r="B74" s="153">
        <v>3.1699999999999999E-2</v>
      </c>
      <c r="C74" s="153">
        <v>0.1</v>
      </c>
      <c r="D74" s="155"/>
      <c r="E74" s="73"/>
      <c r="F74" s="73"/>
      <c r="G74" s="73"/>
      <c r="H74" s="73"/>
      <c r="I74" s="73"/>
      <c r="J74" s="73"/>
    </row>
    <row r="75" spans="1:17">
      <c r="A75" s="154" t="s">
        <v>200</v>
      </c>
      <c r="B75" s="333">
        <v>0.1</v>
      </c>
      <c r="C75" s="153">
        <v>0.1</v>
      </c>
      <c r="D75" s="73"/>
      <c r="E75" s="73"/>
      <c r="F75" s="73"/>
      <c r="G75" s="73"/>
      <c r="H75" s="73"/>
      <c r="I75" s="73"/>
      <c r="J75" s="73"/>
    </row>
    <row r="76" spans="1:17">
      <c r="A76" s="73" t="s">
        <v>208</v>
      </c>
      <c r="B76" s="333">
        <v>0.1</v>
      </c>
      <c r="C76" s="156">
        <v>0.4</v>
      </c>
      <c r="D76" s="73"/>
      <c r="E76" s="73"/>
      <c r="F76" s="73"/>
      <c r="G76" s="73"/>
      <c r="H76" s="73"/>
      <c r="I76" s="73"/>
      <c r="J76" s="73"/>
    </row>
    <row r="77" spans="1:17">
      <c r="A77" s="73" t="s">
        <v>273</v>
      </c>
      <c r="B77" s="333">
        <v>0.1188</v>
      </c>
      <c r="C77" s="156">
        <v>0.15</v>
      </c>
      <c r="D77" s="73"/>
      <c r="E77" s="73"/>
      <c r="F77" s="73"/>
      <c r="G77" s="73"/>
      <c r="H77" s="73"/>
      <c r="I77" s="73"/>
      <c r="J77" s="73"/>
    </row>
    <row r="78" spans="1:17">
      <c r="A78" s="154" t="s">
        <v>209</v>
      </c>
      <c r="B78" s="333">
        <v>6.3299999999999995E-2</v>
      </c>
      <c r="C78" s="156">
        <v>0.15</v>
      </c>
      <c r="D78" s="73"/>
      <c r="E78" s="73"/>
      <c r="F78" s="73"/>
      <c r="G78" s="73"/>
      <c r="H78" s="73"/>
      <c r="I78" s="73"/>
      <c r="J78" s="73"/>
    </row>
    <row r="79" spans="1:17" ht="29.25">
      <c r="A79" s="152" t="s">
        <v>204</v>
      </c>
      <c r="B79" s="153"/>
      <c r="C79" s="155"/>
      <c r="D79" s="73"/>
      <c r="E79" s="73"/>
      <c r="F79" s="73"/>
      <c r="G79" s="73"/>
      <c r="H79" s="73"/>
      <c r="I79" s="73"/>
      <c r="J79" s="73"/>
    </row>
    <row r="80" spans="1:17">
      <c r="A80" s="154" t="s">
        <v>210</v>
      </c>
      <c r="B80" s="155">
        <v>0.2</v>
      </c>
      <c r="C80" s="155">
        <v>0.2</v>
      </c>
      <c r="D80" s="73"/>
      <c r="E80" s="73"/>
      <c r="F80" s="73"/>
      <c r="G80" s="73"/>
      <c r="H80" s="73"/>
      <c r="I80" s="73"/>
      <c r="J80" s="73"/>
    </row>
    <row r="81" spans="1:12">
      <c r="A81" s="73"/>
      <c r="B81" s="73"/>
      <c r="C81" s="73"/>
      <c r="D81" s="73"/>
      <c r="E81" s="73"/>
      <c r="F81" s="73"/>
      <c r="G81" s="73"/>
      <c r="H81" s="73"/>
      <c r="I81" s="73"/>
      <c r="J81" s="73"/>
    </row>
    <row r="82" spans="1:12">
      <c r="A82" s="73"/>
      <c r="B82" s="73"/>
      <c r="C82" s="73"/>
      <c r="D82" s="73"/>
      <c r="E82" s="157"/>
      <c r="F82" s="73"/>
      <c r="G82" s="73"/>
      <c r="H82" s="73"/>
      <c r="I82" s="73"/>
      <c r="J82" s="73"/>
    </row>
    <row r="83" spans="1:12" s="25" customFormat="1" ht="18.75">
      <c r="A83" s="368" t="s">
        <v>558</v>
      </c>
      <c r="B83" s="368"/>
      <c r="C83" s="368"/>
      <c r="D83" s="368"/>
      <c r="E83" s="368"/>
      <c r="F83" s="368"/>
      <c r="G83" s="368"/>
      <c r="H83" s="368"/>
      <c r="I83" s="368"/>
      <c r="J83" s="368"/>
    </row>
    <row r="84" spans="1:12" s="25" customFormat="1">
      <c r="A84" s="26"/>
      <c r="B84" s="26"/>
    </row>
    <row r="85" spans="1:12" s="25" customFormat="1">
      <c r="A85" s="130" t="s">
        <v>0</v>
      </c>
      <c r="B85" s="131" t="s">
        <v>341</v>
      </c>
      <c r="C85" s="132" t="s">
        <v>2</v>
      </c>
      <c r="D85" s="132" t="s">
        <v>3</v>
      </c>
      <c r="E85" s="132" t="s">
        <v>4</v>
      </c>
      <c r="F85" s="132" t="s">
        <v>5</v>
      </c>
      <c r="G85" s="132" t="s">
        <v>6</v>
      </c>
      <c r="H85" s="132" t="s">
        <v>168</v>
      </c>
      <c r="I85" s="132" t="s">
        <v>167</v>
      </c>
      <c r="J85" s="29"/>
      <c r="K85" s="29"/>
      <c r="L85" s="29"/>
    </row>
    <row r="86" spans="1:12" s="25" customFormat="1">
      <c r="A86" s="133" t="s">
        <v>251</v>
      </c>
      <c r="B86" s="134">
        <v>5</v>
      </c>
      <c r="C86" s="135">
        <f>'1.Project Cost and MOF'!$D$10/5</f>
        <v>149729.20000000001</v>
      </c>
      <c r="D86" s="135">
        <f>'1.Project Cost and MOF'!$D$10/5</f>
        <v>149729.20000000001</v>
      </c>
      <c r="E86" s="135">
        <f>'1.Project Cost and MOF'!$D$10/5</f>
        <v>149729.20000000001</v>
      </c>
      <c r="F86" s="135">
        <f>'1.Project Cost and MOF'!$D$10/5</f>
        <v>149729.20000000001</v>
      </c>
      <c r="G86" s="135">
        <f>'1.Project Cost and MOF'!$D$10/5</f>
        <v>149729.20000000001</v>
      </c>
      <c r="H86" s="135">
        <v>0</v>
      </c>
      <c r="I86" s="135">
        <v>0</v>
      </c>
      <c r="J86" s="29"/>
      <c r="K86" s="29"/>
      <c r="L86" s="29"/>
    </row>
    <row r="87" spans="1:12" s="25" customFormat="1">
      <c r="A87" s="136" t="s">
        <v>342</v>
      </c>
      <c r="B87" s="137"/>
      <c r="C87" s="138">
        <f t="shared" ref="C87:I87" si="49">SUM(C85:C86)</f>
        <v>149729.20000000001</v>
      </c>
      <c r="D87" s="138">
        <f t="shared" si="49"/>
        <v>149729.20000000001</v>
      </c>
      <c r="E87" s="138">
        <f t="shared" si="49"/>
        <v>149729.20000000001</v>
      </c>
      <c r="F87" s="138">
        <f t="shared" si="49"/>
        <v>149729.20000000001</v>
      </c>
      <c r="G87" s="138">
        <f t="shared" si="49"/>
        <v>149729.20000000001</v>
      </c>
      <c r="H87" s="138">
        <f t="shared" si="49"/>
        <v>0</v>
      </c>
      <c r="I87" s="138">
        <f t="shared" si="49"/>
        <v>0</v>
      </c>
      <c r="J87" s="52"/>
      <c r="K87" s="52"/>
      <c r="L87" s="52"/>
    </row>
    <row r="88" spans="1:12" s="25" customFormat="1">
      <c r="C88" s="29"/>
      <c r="D88" s="29"/>
      <c r="E88" s="29"/>
      <c r="F88" s="29"/>
      <c r="G88" s="29"/>
      <c r="H88" s="29"/>
      <c r="I88" s="29"/>
      <c r="J88" s="29"/>
      <c r="K88" s="29"/>
      <c r="L88" s="29"/>
    </row>
    <row r="91" spans="1:12">
      <c r="A91" s="24"/>
      <c r="B91" s="25"/>
      <c r="C91" s="25"/>
      <c r="D91" s="25"/>
      <c r="E91" s="25"/>
      <c r="F91" s="25"/>
      <c r="G91" s="25"/>
      <c r="H91" s="25"/>
      <c r="I91" s="25"/>
      <c r="J91" s="25"/>
      <c r="K91" s="25"/>
    </row>
    <row r="92" spans="1:12" ht="18.75">
      <c r="A92" s="380" t="s">
        <v>559</v>
      </c>
      <c r="B92" s="380"/>
      <c r="C92" s="380"/>
      <c r="D92" s="380"/>
      <c r="E92" s="380"/>
      <c r="F92" s="380"/>
      <c r="G92" s="380"/>
      <c r="H92" s="380"/>
      <c r="I92" s="127"/>
      <c r="J92" s="127"/>
      <c r="K92" s="127"/>
    </row>
    <row r="93" spans="1:12">
      <c r="A93" s="26"/>
      <c r="B93" s="25"/>
      <c r="C93" s="25"/>
      <c r="D93" s="25"/>
      <c r="E93" s="25"/>
      <c r="F93" s="25"/>
      <c r="G93" s="25"/>
      <c r="H93" s="25"/>
      <c r="I93" s="25"/>
      <c r="J93" s="25"/>
      <c r="K93" s="25"/>
    </row>
    <row r="94" spans="1:12">
      <c r="A94" s="125" t="s">
        <v>0</v>
      </c>
      <c r="B94" s="97" t="s">
        <v>2</v>
      </c>
      <c r="C94" s="97" t="s">
        <v>3</v>
      </c>
      <c r="D94" s="97" t="s">
        <v>4</v>
      </c>
      <c r="E94" s="97" t="s">
        <v>5</v>
      </c>
      <c r="F94" s="97" t="s">
        <v>6</v>
      </c>
      <c r="G94" s="97" t="s">
        <v>168</v>
      </c>
      <c r="H94" s="97" t="s">
        <v>167</v>
      </c>
      <c r="I94" s="21"/>
      <c r="J94" s="21"/>
      <c r="K94" s="21"/>
    </row>
    <row r="95" spans="1:12">
      <c r="A95" s="60" t="s">
        <v>223</v>
      </c>
      <c r="B95" s="128">
        <f>'6.Cons Profit &amp; Loss'!B49</f>
        <v>475224.85736345546</v>
      </c>
      <c r="C95" s="128">
        <f>'6.Cons Profit &amp; Loss'!C49</f>
        <v>2556789.9003024893</v>
      </c>
      <c r="D95" s="128">
        <f>'6.Cons Profit &amp; Loss'!D49</f>
        <v>4731627.2627147269</v>
      </c>
      <c r="E95" s="128">
        <f>'6.Cons Profit &amp; Loss'!E49</f>
        <v>6163512.6851044344</v>
      </c>
      <c r="F95" s="128">
        <f>'6.Cons Profit &amp; Loss'!F49</f>
        <v>7900497.4763325434</v>
      </c>
      <c r="G95" s="128">
        <f>'6.Cons Profit &amp; Loss'!G49</f>
        <v>9804213.2768981066</v>
      </c>
      <c r="H95" s="128">
        <f>'6.Cons Profit &amp; Loss'!H49</f>
        <v>11647783.780165216</v>
      </c>
      <c r="I95" s="28"/>
      <c r="J95" s="28"/>
      <c r="K95" s="28"/>
    </row>
    <row r="96" spans="1:12">
      <c r="A96" s="60" t="s">
        <v>224</v>
      </c>
      <c r="B96" s="128">
        <f>'6.Cons Profit &amp; Loss'!B42</f>
        <v>1078515.4634161398</v>
      </c>
      <c r="C96" s="128">
        <f>'6.Cons Profit &amp; Loss'!C42</f>
        <v>1078515.4634161398</v>
      </c>
      <c r="D96" s="128">
        <f>'6.Cons Profit &amp; Loss'!D42</f>
        <v>1078515.4634161398</v>
      </c>
      <c r="E96" s="128">
        <f>'6.Cons Profit &amp; Loss'!E42</f>
        <v>1078515.4634161398</v>
      </c>
      <c r="F96" s="128">
        <f>'6.Cons Profit &amp; Loss'!F42</f>
        <v>1078515.4634161398</v>
      </c>
      <c r="G96" s="128">
        <f>'6.Cons Profit &amp; Loss'!G42</f>
        <v>1078515.4634161398</v>
      </c>
      <c r="H96" s="128">
        <f>'6.Cons Profit &amp; Loss'!H42</f>
        <v>1078515.4634161398</v>
      </c>
      <c r="I96" s="28"/>
      <c r="J96" s="28"/>
      <c r="K96" s="28"/>
    </row>
    <row r="97" spans="1:11">
      <c r="A97" s="60" t="s">
        <v>225</v>
      </c>
      <c r="B97" s="128">
        <f>'3.Other Exp &amp; Taxes'!K66</f>
        <v>2877155.7994200001</v>
      </c>
      <c r="C97" s="128">
        <f>'3.Other Exp &amp; Taxes'!L66</f>
        <v>2505901.469478</v>
      </c>
      <c r="D97" s="128">
        <f>'3.Other Exp &amp; Taxes'!M66</f>
        <v>2186643.3850301998</v>
      </c>
      <c r="E97" s="128">
        <f>'3.Other Exp &amp; Taxes'!N66</f>
        <v>1911015.2996521799</v>
      </c>
      <c r="F97" s="128">
        <f>'3.Other Exp &amp; Taxes'!O66</f>
        <v>1672336.9848432117</v>
      </c>
      <c r="G97" s="128">
        <f>'3.Other Exp &amp; Taxes'!P66</f>
        <v>1465168.4592417032</v>
      </c>
      <c r="H97" s="128">
        <f>'3.Other Exp &amp; Taxes'!Q66</f>
        <v>1285010.2742679236</v>
      </c>
      <c r="I97" s="28"/>
      <c r="J97" s="28"/>
      <c r="K97" s="28"/>
    </row>
    <row r="98" spans="1:11">
      <c r="A98" s="60" t="s">
        <v>286</v>
      </c>
      <c r="B98" s="128">
        <f t="shared" ref="B98:H98" si="50">B95+B96-B97</f>
        <v>-1323415.4786404048</v>
      </c>
      <c r="C98" s="128">
        <f t="shared" si="50"/>
        <v>1129403.8942406289</v>
      </c>
      <c r="D98" s="128">
        <f t="shared" si="50"/>
        <v>3623499.3411006667</v>
      </c>
      <c r="E98" s="128">
        <f t="shared" si="50"/>
        <v>5331012.8488683943</v>
      </c>
      <c r="F98" s="128">
        <f t="shared" si="50"/>
        <v>7306675.9549054727</v>
      </c>
      <c r="G98" s="128">
        <f t="shared" si="50"/>
        <v>9417560.2810725439</v>
      </c>
      <c r="H98" s="128">
        <f t="shared" si="50"/>
        <v>11441288.969313433</v>
      </c>
      <c r="I98" s="28"/>
      <c r="J98" s="28"/>
      <c r="K98" s="28"/>
    </row>
    <row r="99" spans="1:11">
      <c r="A99" s="62" t="s">
        <v>226</v>
      </c>
      <c r="B99" s="129">
        <f t="shared" ref="B99:H99" si="51">B98*$B$102</f>
        <v>-344088.02444650524</v>
      </c>
      <c r="C99" s="129">
        <f t="shared" si="51"/>
        <v>293645.01250256354</v>
      </c>
      <c r="D99" s="129">
        <f t="shared" si="51"/>
        <v>942109.82868617342</v>
      </c>
      <c r="E99" s="129">
        <f t="shared" si="51"/>
        <v>1386063.3407057826</v>
      </c>
      <c r="F99" s="129">
        <f t="shared" si="51"/>
        <v>1899735.748275423</v>
      </c>
      <c r="G99" s="129">
        <f t="shared" si="51"/>
        <v>2448565.6730788616</v>
      </c>
      <c r="H99" s="129">
        <f t="shared" si="51"/>
        <v>2974735.1320214928</v>
      </c>
      <c r="I99" s="28"/>
      <c r="J99" s="28"/>
      <c r="K99" s="28"/>
    </row>
    <row r="100" spans="1:11">
      <c r="A100" s="27"/>
      <c r="B100" s="25"/>
      <c r="C100" s="25"/>
      <c r="D100" s="25"/>
      <c r="E100" s="25"/>
      <c r="F100" s="25"/>
      <c r="G100" s="25"/>
      <c r="H100" s="25"/>
      <c r="I100" s="25"/>
      <c r="J100" s="25"/>
      <c r="K100" s="25"/>
    </row>
    <row r="101" spans="1:11">
      <c r="A101" s="27"/>
      <c r="B101" s="29"/>
      <c r="C101" s="29"/>
      <c r="D101" s="29"/>
      <c r="E101" s="29"/>
      <c r="F101" s="29"/>
      <c r="G101" s="29"/>
      <c r="H101" s="29"/>
      <c r="I101" s="29"/>
      <c r="J101" s="29"/>
      <c r="K101" s="29"/>
    </row>
    <row r="102" spans="1:11">
      <c r="A102" s="30" t="s">
        <v>391</v>
      </c>
      <c r="B102" s="252">
        <v>0.26</v>
      </c>
      <c r="C102" s="29"/>
      <c r="D102" s="29"/>
      <c r="E102" s="29"/>
      <c r="F102" s="29"/>
      <c r="G102" s="29"/>
      <c r="H102" s="29"/>
      <c r="I102" s="29"/>
      <c r="J102" s="29"/>
      <c r="K102" s="29"/>
    </row>
    <row r="103" spans="1:11">
      <c r="A103" s="25"/>
      <c r="B103" s="25"/>
      <c r="C103" s="25"/>
      <c r="D103" s="25"/>
      <c r="E103" s="25"/>
      <c r="F103" s="25"/>
      <c r="G103" s="25"/>
      <c r="H103" s="25"/>
      <c r="I103" s="25"/>
      <c r="J103" s="25"/>
      <c r="K103" s="25"/>
    </row>
    <row r="104" spans="1:11" ht="29.1" customHeight="1">
      <c r="A104" s="381" t="s">
        <v>422</v>
      </c>
      <c r="B104" s="381"/>
      <c r="C104" s="381"/>
      <c r="D104" s="381"/>
      <c r="E104" s="381"/>
      <c r="F104" s="381"/>
      <c r="G104" s="381"/>
      <c r="H104" s="381"/>
      <c r="I104" s="23"/>
      <c r="J104" s="23"/>
      <c r="K104" s="23"/>
    </row>
  </sheetData>
  <mergeCells count="8">
    <mergeCell ref="A83:J83"/>
    <mergeCell ref="A92:H92"/>
    <mergeCell ref="A104:H104"/>
    <mergeCell ref="A2:K2"/>
    <mergeCell ref="A28:O28"/>
    <mergeCell ref="C31:I31"/>
    <mergeCell ref="K31:Q31"/>
    <mergeCell ref="A29:Q29"/>
  </mergeCells>
  <pageMargins left="0.7" right="0.7" top="0.75" bottom="0.75" header="0.3" footer="0.3"/>
  <pageSetup paperSize="9" scale="51" orientation="portrait" r:id="rId1"/>
</worksheet>
</file>

<file path=xl/worksheets/sheet5.xml><?xml version="1.0" encoding="utf-8"?>
<worksheet xmlns="http://schemas.openxmlformats.org/spreadsheetml/2006/main" xmlns:r="http://schemas.openxmlformats.org/officeDocument/2006/relationships">
  <dimension ref="A2:I98"/>
  <sheetViews>
    <sheetView view="pageBreakPreview" zoomScale="80" zoomScaleSheetLayoutView="80" workbookViewId="0">
      <selection activeCell="G6" sqref="G6"/>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368" t="s">
        <v>560</v>
      </c>
      <c r="B2" s="368"/>
      <c r="C2" s="368"/>
      <c r="D2" s="368"/>
      <c r="E2" s="368"/>
      <c r="F2" s="368"/>
      <c r="G2" s="385"/>
    </row>
    <row r="3" spans="1:7">
      <c r="B3" s="13"/>
      <c r="C3" s="13"/>
      <c r="D3" s="13"/>
      <c r="E3" s="13"/>
      <c r="F3" s="13"/>
      <c r="G3" s="13"/>
    </row>
    <row r="4" spans="1:7">
      <c r="A4" s="73"/>
      <c r="B4" s="73"/>
      <c r="C4" s="73" t="s">
        <v>463</v>
      </c>
      <c r="D4" s="89">
        <f>'1.Project Cost and MOF'!E20</f>
        <v>7302286.19826</v>
      </c>
      <c r="E4" s="73"/>
      <c r="F4" s="73"/>
      <c r="G4" s="73"/>
    </row>
    <row r="5" spans="1:7">
      <c r="A5" s="73"/>
      <c r="B5" s="73"/>
      <c r="C5" s="73" t="s">
        <v>464</v>
      </c>
      <c r="D5" s="247">
        <v>0.16</v>
      </c>
      <c r="E5" s="73"/>
      <c r="F5" s="73"/>
      <c r="G5" s="73"/>
    </row>
    <row r="6" spans="1:7">
      <c r="A6" s="73"/>
      <c r="B6" s="73"/>
      <c r="C6" s="73" t="s">
        <v>465</v>
      </c>
      <c r="D6" s="248">
        <v>4</v>
      </c>
      <c r="E6" s="73"/>
      <c r="F6" s="73"/>
      <c r="G6" s="73"/>
    </row>
    <row r="7" spans="1:7">
      <c r="A7" s="73"/>
      <c r="B7" s="73"/>
      <c r="C7" s="73" t="s">
        <v>466</v>
      </c>
      <c r="D7" s="248">
        <v>6</v>
      </c>
      <c r="E7" s="73"/>
      <c r="F7" s="73"/>
      <c r="G7" s="73"/>
    </row>
    <row r="8" spans="1:7">
      <c r="A8" s="73"/>
      <c r="B8" s="73"/>
      <c r="C8" s="73" t="s">
        <v>22</v>
      </c>
      <c r="D8" s="177">
        <f>PMT(D5/12,(D6-(D7/12))*12,-D4)</f>
        <v>228192.90955477764</v>
      </c>
      <c r="E8" s="177"/>
      <c r="F8" s="237"/>
      <c r="G8" s="73"/>
    </row>
    <row r="9" spans="1:7">
      <c r="A9" s="125" t="s">
        <v>287</v>
      </c>
      <c r="B9" s="178" t="s">
        <v>18</v>
      </c>
      <c r="C9" s="179" t="s">
        <v>19</v>
      </c>
      <c r="D9" s="179" t="s">
        <v>20</v>
      </c>
      <c r="E9" s="179" t="s">
        <v>21</v>
      </c>
      <c r="F9" s="179" t="s">
        <v>22</v>
      </c>
      <c r="G9" s="179" t="s">
        <v>23</v>
      </c>
    </row>
    <row r="10" spans="1:7">
      <c r="A10" s="74" t="s">
        <v>11</v>
      </c>
      <c r="B10" s="74" t="s">
        <v>52</v>
      </c>
      <c r="C10" s="75">
        <f>D4</f>
        <v>7302286.19826</v>
      </c>
      <c r="D10" s="75">
        <f t="shared" ref="D10:D41" si="0">C10*$D$5/12</f>
        <v>97363.815976800004</v>
      </c>
      <c r="E10" s="75">
        <f t="shared" ref="E10:E15" si="1">F10-D10</f>
        <v>0</v>
      </c>
      <c r="F10" s="75">
        <f>D10</f>
        <v>97363.815976800004</v>
      </c>
      <c r="G10" s="75">
        <f>C10-E10</f>
        <v>7302286.19826</v>
      </c>
    </row>
    <row r="11" spans="1:7">
      <c r="A11" s="74"/>
      <c r="B11" s="74" t="s">
        <v>53</v>
      </c>
      <c r="C11" s="75">
        <f>G10</f>
        <v>7302286.19826</v>
      </c>
      <c r="D11" s="75">
        <f t="shared" si="0"/>
        <v>97363.815976800004</v>
      </c>
      <c r="E11" s="75">
        <f t="shared" si="1"/>
        <v>0</v>
      </c>
      <c r="F11" s="75">
        <f t="shared" ref="F11:F15" si="2">D11</f>
        <v>97363.815976800004</v>
      </c>
      <c r="G11" s="75">
        <f t="shared" ref="G11:G74" si="3">C11-E11</f>
        <v>7302286.19826</v>
      </c>
    </row>
    <row r="12" spans="1:7">
      <c r="A12" s="74"/>
      <c r="B12" s="74" t="s">
        <v>54</v>
      </c>
      <c r="C12" s="75">
        <f t="shared" ref="C12:C75" si="4">G11</f>
        <v>7302286.19826</v>
      </c>
      <c r="D12" s="75">
        <f t="shared" si="0"/>
        <v>97363.815976800004</v>
      </c>
      <c r="E12" s="75">
        <f t="shared" si="1"/>
        <v>0</v>
      </c>
      <c r="F12" s="75">
        <f t="shared" si="2"/>
        <v>97363.815976800004</v>
      </c>
      <c r="G12" s="75">
        <f t="shared" si="3"/>
        <v>7302286.19826</v>
      </c>
    </row>
    <row r="13" spans="1:7">
      <c r="A13" s="74"/>
      <c r="B13" s="74" t="s">
        <v>55</v>
      </c>
      <c r="C13" s="75">
        <f t="shared" si="4"/>
        <v>7302286.19826</v>
      </c>
      <c r="D13" s="75">
        <f t="shared" si="0"/>
        <v>97363.815976800004</v>
      </c>
      <c r="E13" s="75">
        <f t="shared" si="1"/>
        <v>0</v>
      </c>
      <c r="F13" s="75">
        <f t="shared" si="2"/>
        <v>97363.815976800004</v>
      </c>
      <c r="G13" s="75">
        <f t="shared" si="3"/>
        <v>7302286.19826</v>
      </c>
    </row>
    <row r="14" spans="1:7">
      <c r="A14" s="74"/>
      <c r="B14" s="74" t="s">
        <v>56</v>
      </c>
      <c r="C14" s="75">
        <f t="shared" si="4"/>
        <v>7302286.19826</v>
      </c>
      <c r="D14" s="75">
        <f t="shared" si="0"/>
        <v>97363.815976800004</v>
      </c>
      <c r="E14" s="75">
        <f t="shared" si="1"/>
        <v>0</v>
      </c>
      <c r="F14" s="75">
        <f t="shared" si="2"/>
        <v>97363.815976800004</v>
      </c>
      <c r="G14" s="75">
        <f t="shared" si="3"/>
        <v>7302286.19826</v>
      </c>
    </row>
    <row r="15" spans="1:7">
      <c r="A15" s="74"/>
      <c r="B15" s="74" t="s">
        <v>57</v>
      </c>
      <c r="C15" s="75">
        <f t="shared" si="4"/>
        <v>7302286.19826</v>
      </c>
      <c r="D15" s="75">
        <f t="shared" si="0"/>
        <v>97363.815976800004</v>
      </c>
      <c r="E15" s="75">
        <f t="shared" si="1"/>
        <v>0</v>
      </c>
      <c r="F15" s="75">
        <f t="shared" si="2"/>
        <v>97363.815976800004</v>
      </c>
      <c r="G15" s="75">
        <f t="shared" si="3"/>
        <v>7302286.19826</v>
      </c>
    </row>
    <row r="16" spans="1:7">
      <c r="A16" s="74"/>
      <c r="B16" s="74" t="s">
        <v>58</v>
      </c>
      <c r="C16" s="75">
        <f t="shared" si="4"/>
        <v>7302286.19826</v>
      </c>
      <c r="D16" s="75">
        <f t="shared" si="0"/>
        <v>97363.815976800004</v>
      </c>
      <c r="E16" s="75">
        <f>F16-D16</f>
        <v>130829.09357797763</v>
      </c>
      <c r="F16" s="75">
        <f t="shared" ref="F16:F74" si="5">$D$8</f>
        <v>228192.90955477764</v>
      </c>
      <c r="G16" s="75">
        <f t="shared" si="3"/>
        <v>7171457.1046820227</v>
      </c>
    </row>
    <row r="17" spans="1:9">
      <c r="A17" s="74"/>
      <c r="B17" s="74" t="s">
        <v>59</v>
      </c>
      <c r="C17" s="75">
        <f t="shared" si="4"/>
        <v>7171457.1046820227</v>
      </c>
      <c r="D17" s="75">
        <f t="shared" si="0"/>
        <v>95619.428062426974</v>
      </c>
      <c r="E17" s="75">
        <f t="shared" ref="E17:E80" si="6">F17-D17</f>
        <v>132573.48149235066</v>
      </c>
      <c r="F17" s="75">
        <f t="shared" si="5"/>
        <v>228192.90955477764</v>
      </c>
      <c r="G17" s="75">
        <f t="shared" si="3"/>
        <v>7038883.6231896719</v>
      </c>
    </row>
    <row r="18" spans="1:9">
      <c r="A18" s="74"/>
      <c r="B18" s="74" t="s">
        <v>60</v>
      </c>
      <c r="C18" s="75">
        <f t="shared" si="4"/>
        <v>7038883.6231896719</v>
      </c>
      <c r="D18" s="75">
        <f t="shared" si="0"/>
        <v>93851.781642528964</v>
      </c>
      <c r="E18" s="75">
        <f t="shared" si="6"/>
        <v>134341.12791224866</v>
      </c>
      <c r="F18" s="75">
        <f t="shared" si="5"/>
        <v>228192.90955477764</v>
      </c>
      <c r="G18" s="75">
        <f t="shared" si="3"/>
        <v>6904542.4952774234</v>
      </c>
    </row>
    <row r="19" spans="1:9">
      <c r="A19" s="74"/>
      <c r="B19" s="74" t="s">
        <v>61</v>
      </c>
      <c r="C19" s="75">
        <f t="shared" si="4"/>
        <v>6904542.4952774234</v>
      </c>
      <c r="D19" s="75">
        <f t="shared" si="0"/>
        <v>92060.566603698986</v>
      </c>
      <c r="E19" s="75">
        <f t="shared" si="6"/>
        <v>136132.34295107867</v>
      </c>
      <c r="F19" s="75">
        <f t="shared" si="5"/>
        <v>228192.90955477764</v>
      </c>
      <c r="G19" s="75">
        <f t="shared" si="3"/>
        <v>6768410.1523263445</v>
      </c>
    </row>
    <row r="20" spans="1:9">
      <c r="A20" s="74"/>
      <c r="B20" s="74" t="s">
        <v>62</v>
      </c>
      <c r="C20" s="75">
        <f t="shared" si="4"/>
        <v>6768410.1523263445</v>
      </c>
      <c r="D20" s="75">
        <f t="shared" si="0"/>
        <v>90245.468697684599</v>
      </c>
      <c r="E20" s="75">
        <f t="shared" si="6"/>
        <v>137947.44085709302</v>
      </c>
      <c r="F20" s="75">
        <f t="shared" si="5"/>
        <v>228192.90955477764</v>
      </c>
      <c r="G20" s="75">
        <f t="shared" si="3"/>
        <v>6630462.7114692517</v>
      </c>
    </row>
    <row r="21" spans="1:9">
      <c r="A21" s="74"/>
      <c r="B21" s="74" t="s">
        <v>63</v>
      </c>
      <c r="C21" s="75">
        <f t="shared" si="4"/>
        <v>6630462.7114692517</v>
      </c>
      <c r="D21" s="75">
        <f t="shared" si="0"/>
        <v>88406.16948625668</v>
      </c>
      <c r="E21" s="75">
        <f t="shared" si="6"/>
        <v>139786.74006852094</v>
      </c>
      <c r="F21" s="75">
        <f t="shared" si="5"/>
        <v>228192.90955477764</v>
      </c>
      <c r="G21" s="75">
        <f t="shared" si="3"/>
        <v>6490675.9714007303</v>
      </c>
      <c r="H21" s="1"/>
      <c r="I21" s="1"/>
    </row>
    <row r="22" spans="1:9">
      <c r="A22" s="74" t="s">
        <v>12</v>
      </c>
      <c r="B22" s="74" t="s">
        <v>64</v>
      </c>
      <c r="C22" s="75">
        <f t="shared" si="4"/>
        <v>6490675.9714007303</v>
      </c>
      <c r="D22" s="75">
        <f t="shared" si="0"/>
        <v>86542.346285343068</v>
      </c>
      <c r="E22" s="75">
        <f t="shared" si="6"/>
        <v>141650.56326943455</v>
      </c>
      <c r="F22" s="75">
        <f t="shared" si="5"/>
        <v>228192.90955477764</v>
      </c>
      <c r="G22" s="75">
        <f t="shared" si="3"/>
        <v>6349025.4081312958</v>
      </c>
    </row>
    <row r="23" spans="1:9">
      <c r="A23" s="74"/>
      <c r="B23" s="74" t="s">
        <v>65</v>
      </c>
      <c r="C23" s="75">
        <f t="shared" si="4"/>
        <v>6349025.4081312958</v>
      </c>
      <c r="D23" s="75">
        <f t="shared" si="0"/>
        <v>84653.672108417275</v>
      </c>
      <c r="E23" s="75">
        <f t="shared" si="6"/>
        <v>143539.23744636035</v>
      </c>
      <c r="F23" s="75">
        <f t="shared" si="5"/>
        <v>228192.90955477764</v>
      </c>
      <c r="G23" s="75">
        <f t="shared" si="3"/>
        <v>6205486.1706849355</v>
      </c>
    </row>
    <row r="24" spans="1:9">
      <c r="A24" s="74"/>
      <c r="B24" s="74" t="s">
        <v>66</v>
      </c>
      <c r="C24" s="75">
        <f t="shared" si="4"/>
        <v>6205486.1706849355</v>
      </c>
      <c r="D24" s="75">
        <f t="shared" si="0"/>
        <v>82739.815609132478</v>
      </c>
      <c r="E24" s="75">
        <f t="shared" si="6"/>
        <v>145453.09394564515</v>
      </c>
      <c r="F24" s="75">
        <f t="shared" si="5"/>
        <v>228192.90955477764</v>
      </c>
      <c r="G24" s="75">
        <f t="shared" si="3"/>
        <v>6060033.0767392907</v>
      </c>
    </row>
    <row r="25" spans="1:9">
      <c r="A25" s="74"/>
      <c r="B25" s="74" t="s">
        <v>67</v>
      </c>
      <c r="C25" s="75">
        <f t="shared" si="4"/>
        <v>6060033.0767392907</v>
      </c>
      <c r="D25" s="75">
        <f t="shared" si="0"/>
        <v>80800.441023190549</v>
      </c>
      <c r="E25" s="75">
        <f t="shared" si="6"/>
        <v>147392.4685315871</v>
      </c>
      <c r="F25" s="75">
        <f t="shared" si="5"/>
        <v>228192.90955477764</v>
      </c>
      <c r="G25" s="75">
        <f t="shared" si="3"/>
        <v>5912640.6082077036</v>
      </c>
    </row>
    <row r="26" spans="1:9">
      <c r="A26" s="74"/>
      <c r="B26" s="74" t="s">
        <v>68</v>
      </c>
      <c r="C26" s="75">
        <f t="shared" si="4"/>
        <v>5912640.6082077036</v>
      </c>
      <c r="D26" s="75">
        <f t="shared" si="0"/>
        <v>78835.208109436047</v>
      </c>
      <c r="E26" s="75">
        <f t="shared" si="6"/>
        <v>149357.70144534158</v>
      </c>
      <c r="F26" s="75">
        <f t="shared" si="5"/>
        <v>228192.90955477764</v>
      </c>
      <c r="G26" s="75">
        <f t="shared" si="3"/>
        <v>5763282.9067623615</v>
      </c>
    </row>
    <row r="27" spans="1:9">
      <c r="A27" s="74"/>
      <c r="B27" s="74" t="s">
        <v>69</v>
      </c>
      <c r="C27" s="75">
        <f t="shared" si="4"/>
        <v>5763282.9067623615</v>
      </c>
      <c r="D27" s="75">
        <f t="shared" si="0"/>
        <v>76843.772090164814</v>
      </c>
      <c r="E27" s="75">
        <f t="shared" si="6"/>
        <v>151349.13746461284</v>
      </c>
      <c r="F27" s="75">
        <f t="shared" si="5"/>
        <v>228192.90955477764</v>
      </c>
      <c r="G27" s="75">
        <f t="shared" si="3"/>
        <v>5611933.7692977488</v>
      </c>
    </row>
    <row r="28" spans="1:9">
      <c r="A28" s="74"/>
      <c r="B28" s="74" t="s">
        <v>70</v>
      </c>
      <c r="C28" s="75">
        <f t="shared" si="4"/>
        <v>5611933.7692977488</v>
      </c>
      <c r="D28" s="75">
        <f t="shared" si="0"/>
        <v>74825.783590636653</v>
      </c>
      <c r="E28" s="75">
        <f t="shared" si="6"/>
        <v>153367.12596414099</v>
      </c>
      <c r="F28" s="75">
        <f t="shared" si="5"/>
        <v>228192.90955477764</v>
      </c>
      <c r="G28" s="75">
        <f t="shared" si="3"/>
        <v>5458566.6433336083</v>
      </c>
    </row>
    <row r="29" spans="1:9">
      <c r="A29" s="74"/>
      <c r="B29" s="74" t="s">
        <v>71</v>
      </c>
      <c r="C29" s="75">
        <f t="shared" si="4"/>
        <v>5458566.6433336083</v>
      </c>
      <c r="D29" s="75">
        <f t="shared" si="0"/>
        <v>72780.888577781443</v>
      </c>
      <c r="E29" s="75">
        <f t="shared" si="6"/>
        <v>155412.02097699619</v>
      </c>
      <c r="F29" s="75">
        <f t="shared" si="5"/>
        <v>228192.90955477764</v>
      </c>
      <c r="G29" s="75">
        <f t="shared" si="3"/>
        <v>5303154.6223566122</v>
      </c>
    </row>
    <row r="30" spans="1:9">
      <c r="A30" s="74"/>
      <c r="B30" s="74" t="s">
        <v>72</v>
      </c>
      <c r="C30" s="75">
        <f t="shared" si="4"/>
        <v>5303154.6223566122</v>
      </c>
      <c r="D30" s="75">
        <f t="shared" si="0"/>
        <v>70708.728298088172</v>
      </c>
      <c r="E30" s="75">
        <f t="shared" si="6"/>
        <v>157484.18125668948</v>
      </c>
      <c r="F30" s="75">
        <f t="shared" si="5"/>
        <v>228192.90955477764</v>
      </c>
      <c r="G30" s="75">
        <f t="shared" si="3"/>
        <v>5145670.4410999231</v>
      </c>
    </row>
    <row r="31" spans="1:9">
      <c r="A31" s="74"/>
      <c r="B31" s="74" t="s">
        <v>73</v>
      </c>
      <c r="C31" s="75">
        <f t="shared" si="4"/>
        <v>5145670.4410999231</v>
      </c>
      <c r="D31" s="75">
        <f t="shared" si="0"/>
        <v>68608.939214665646</v>
      </c>
      <c r="E31" s="75">
        <f t="shared" si="6"/>
        <v>159583.97034011199</v>
      </c>
      <c r="F31" s="75">
        <f t="shared" si="5"/>
        <v>228192.90955477764</v>
      </c>
      <c r="G31" s="75">
        <f t="shared" si="3"/>
        <v>4986086.4707598109</v>
      </c>
    </row>
    <row r="32" spans="1:9">
      <c r="A32" s="74"/>
      <c r="B32" s="74" t="s">
        <v>74</v>
      </c>
      <c r="C32" s="75">
        <f t="shared" si="4"/>
        <v>4986086.4707598109</v>
      </c>
      <c r="D32" s="75">
        <f t="shared" si="0"/>
        <v>66481.152943464156</v>
      </c>
      <c r="E32" s="75">
        <f t="shared" si="6"/>
        <v>161711.7566113135</v>
      </c>
      <c r="F32" s="75">
        <f t="shared" si="5"/>
        <v>228192.90955477764</v>
      </c>
      <c r="G32" s="75">
        <f t="shared" si="3"/>
        <v>4824374.7141484972</v>
      </c>
    </row>
    <row r="33" spans="1:9">
      <c r="A33" s="74"/>
      <c r="B33" s="74" t="s">
        <v>75</v>
      </c>
      <c r="C33" s="75">
        <f t="shared" si="4"/>
        <v>4824374.7141484972</v>
      </c>
      <c r="D33" s="75">
        <f t="shared" si="0"/>
        <v>64324.996188646626</v>
      </c>
      <c r="E33" s="75">
        <f t="shared" si="6"/>
        <v>163867.91336613102</v>
      </c>
      <c r="F33" s="75">
        <f t="shared" si="5"/>
        <v>228192.90955477764</v>
      </c>
      <c r="G33" s="75">
        <f t="shared" si="3"/>
        <v>4660506.8007823657</v>
      </c>
      <c r="H33" s="1"/>
      <c r="I33" s="1"/>
    </row>
    <row r="34" spans="1:9">
      <c r="A34" s="74" t="s">
        <v>13</v>
      </c>
      <c r="B34" s="74" t="s">
        <v>76</v>
      </c>
      <c r="C34" s="75">
        <f t="shared" si="4"/>
        <v>4660506.8007823657</v>
      </c>
      <c r="D34" s="75">
        <f t="shared" si="0"/>
        <v>62140.090677098204</v>
      </c>
      <c r="E34" s="75">
        <f t="shared" si="6"/>
        <v>166052.81887767944</v>
      </c>
      <c r="F34" s="75">
        <f t="shared" si="5"/>
        <v>228192.90955477764</v>
      </c>
      <c r="G34" s="75">
        <f t="shared" si="3"/>
        <v>4494453.9819046864</v>
      </c>
    </row>
    <row r="35" spans="1:9">
      <c r="A35" s="74"/>
      <c r="B35" s="74" t="s">
        <v>77</v>
      </c>
      <c r="C35" s="75">
        <f t="shared" si="4"/>
        <v>4494453.9819046864</v>
      </c>
      <c r="D35" s="75">
        <f t="shared" si="0"/>
        <v>59926.053092062481</v>
      </c>
      <c r="E35" s="75">
        <f t="shared" si="6"/>
        <v>168266.85646271516</v>
      </c>
      <c r="F35" s="75">
        <f t="shared" si="5"/>
        <v>228192.90955477764</v>
      </c>
      <c r="G35" s="75">
        <f t="shared" si="3"/>
        <v>4326187.1254419712</v>
      </c>
    </row>
    <row r="36" spans="1:9">
      <c r="A36" s="74"/>
      <c r="B36" s="74" t="s">
        <v>78</v>
      </c>
      <c r="C36" s="75">
        <f t="shared" si="4"/>
        <v>4326187.1254419712</v>
      </c>
      <c r="D36" s="75">
        <f t="shared" si="0"/>
        <v>57682.495005892946</v>
      </c>
      <c r="E36" s="75">
        <f t="shared" si="6"/>
        <v>170510.4145488847</v>
      </c>
      <c r="F36" s="75">
        <f t="shared" si="5"/>
        <v>228192.90955477764</v>
      </c>
      <c r="G36" s="75">
        <f t="shared" si="3"/>
        <v>4155676.7108930866</v>
      </c>
    </row>
    <row r="37" spans="1:9">
      <c r="A37" s="74"/>
      <c r="B37" s="74" t="s">
        <v>79</v>
      </c>
      <c r="C37" s="75">
        <f t="shared" si="4"/>
        <v>4155676.7108930866</v>
      </c>
      <c r="D37" s="75">
        <f t="shared" si="0"/>
        <v>55409.022811907817</v>
      </c>
      <c r="E37" s="75">
        <f t="shared" si="6"/>
        <v>172783.88674286983</v>
      </c>
      <c r="F37" s="75">
        <f t="shared" si="5"/>
        <v>228192.90955477764</v>
      </c>
      <c r="G37" s="75">
        <f t="shared" si="3"/>
        <v>3982892.8241502168</v>
      </c>
    </row>
    <row r="38" spans="1:9">
      <c r="A38" s="74"/>
      <c r="B38" s="74" t="s">
        <v>80</v>
      </c>
      <c r="C38" s="75">
        <f t="shared" si="4"/>
        <v>3982892.8241502168</v>
      </c>
      <c r="D38" s="75">
        <f t="shared" si="0"/>
        <v>53105.237655336219</v>
      </c>
      <c r="E38" s="75">
        <f t="shared" si="6"/>
        <v>175087.67189944143</v>
      </c>
      <c r="F38" s="75">
        <f t="shared" si="5"/>
        <v>228192.90955477764</v>
      </c>
      <c r="G38" s="75">
        <f t="shared" si="3"/>
        <v>3807805.1522507751</v>
      </c>
    </row>
    <row r="39" spans="1:9">
      <c r="A39" s="74"/>
      <c r="B39" s="74" t="s">
        <v>81</v>
      </c>
      <c r="C39" s="75">
        <f t="shared" si="4"/>
        <v>3807805.1522507751</v>
      </c>
      <c r="D39" s="75">
        <f t="shared" si="0"/>
        <v>50770.735363343672</v>
      </c>
      <c r="E39" s="75">
        <f t="shared" si="6"/>
        <v>177422.17419143397</v>
      </c>
      <c r="F39" s="75">
        <f t="shared" si="5"/>
        <v>228192.90955477764</v>
      </c>
      <c r="G39" s="75">
        <f t="shared" si="3"/>
        <v>3630382.9780593412</v>
      </c>
    </row>
    <row r="40" spans="1:9">
      <c r="A40" s="74"/>
      <c r="B40" s="74" t="s">
        <v>82</v>
      </c>
      <c r="C40" s="75">
        <f t="shared" si="4"/>
        <v>3630382.9780593412</v>
      </c>
      <c r="D40" s="75">
        <f t="shared" si="0"/>
        <v>48405.106374124553</v>
      </c>
      <c r="E40" s="75">
        <f t="shared" si="6"/>
        <v>179787.80318065308</v>
      </c>
      <c r="F40" s="75">
        <f t="shared" si="5"/>
        <v>228192.90955477764</v>
      </c>
      <c r="G40" s="75">
        <f t="shared" si="3"/>
        <v>3450595.1748786881</v>
      </c>
    </row>
    <row r="41" spans="1:9">
      <c r="A41" s="74"/>
      <c r="B41" s="74" t="s">
        <v>83</v>
      </c>
      <c r="C41" s="75">
        <f t="shared" si="4"/>
        <v>3450595.1748786881</v>
      </c>
      <c r="D41" s="75">
        <f t="shared" si="0"/>
        <v>46007.935665049175</v>
      </c>
      <c r="E41" s="75">
        <f t="shared" si="6"/>
        <v>182184.97388972846</v>
      </c>
      <c r="F41" s="75">
        <f t="shared" si="5"/>
        <v>228192.90955477764</v>
      </c>
      <c r="G41" s="75">
        <f t="shared" si="3"/>
        <v>3268410.2009889595</v>
      </c>
    </row>
    <row r="42" spans="1:9">
      <c r="A42" s="74"/>
      <c r="B42" s="74" t="s">
        <v>84</v>
      </c>
      <c r="C42" s="75">
        <f t="shared" si="4"/>
        <v>3268410.2009889595</v>
      </c>
      <c r="D42" s="75">
        <f t="shared" ref="D42:D73" si="7">C42*$D$5/12</f>
        <v>43578.802679852794</v>
      </c>
      <c r="E42" s="75">
        <f t="shared" si="6"/>
        <v>184614.10687492485</v>
      </c>
      <c r="F42" s="75">
        <f t="shared" si="5"/>
        <v>228192.90955477764</v>
      </c>
      <c r="G42" s="75">
        <f t="shared" si="3"/>
        <v>3083796.0941140344</v>
      </c>
    </row>
    <row r="43" spans="1:9">
      <c r="A43" s="74"/>
      <c r="B43" s="74" t="s">
        <v>85</v>
      </c>
      <c r="C43" s="75">
        <f t="shared" si="4"/>
        <v>3083796.0941140344</v>
      </c>
      <c r="D43" s="75">
        <f t="shared" si="7"/>
        <v>41117.281254853791</v>
      </c>
      <c r="E43" s="75">
        <f t="shared" si="6"/>
        <v>187075.62829992385</v>
      </c>
      <c r="F43" s="75">
        <f t="shared" si="5"/>
        <v>228192.90955477764</v>
      </c>
      <c r="G43" s="75">
        <f t="shared" si="3"/>
        <v>2896720.4658141108</v>
      </c>
    </row>
    <row r="44" spans="1:9">
      <c r="A44" s="74"/>
      <c r="B44" s="74" t="s">
        <v>86</v>
      </c>
      <c r="C44" s="75">
        <f t="shared" si="4"/>
        <v>2896720.4658141108</v>
      </c>
      <c r="D44" s="75">
        <f t="shared" si="7"/>
        <v>38622.939544188142</v>
      </c>
      <c r="E44" s="75">
        <f t="shared" si="6"/>
        <v>189569.97001058949</v>
      </c>
      <c r="F44" s="75">
        <f t="shared" si="5"/>
        <v>228192.90955477764</v>
      </c>
      <c r="G44" s="75">
        <f t="shared" si="3"/>
        <v>2707150.4958035215</v>
      </c>
    </row>
    <row r="45" spans="1:9">
      <c r="A45" s="74"/>
      <c r="B45" s="74" t="s">
        <v>87</v>
      </c>
      <c r="C45" s="75">
        <f t="shared" si="4"/>
        <v>2707150.4958035215</v>
      </c>
      <c r="D45" s="75">
        <f t="shared" si="7"/>
        <v>36095.339944046958</v>
      </c>
      <c r="E45" s="75">
        <f t="shared" si="6"/>
        <v>192097.56961073069</v>
      </c>
      <c r="F45" s="75">
        <f t="shared" si="5"/>
        <v>228192.90955477764</v>
      </c>
      <c r="G45" s="75">
        <f t="shared" si="3"/>
        <v>2515052.9261927907</v>
      </c>
      <c r="H45" s="1"/>
      <c r="I45" s="1"/>
    </row>
    <row r="46" spans="1:9">
      <c r="A46" s="74" t="s">
        <v>14</v>
      </c>
      <c r="B46" s="74" t="s">
        <v>88</v>
      </c>
      <c r="C46" s="75">
        <f t="shared" si="4"/>
        <v>2515052.9261927907</v>
      </c>
      <c r="D46" s="75">
        <f t="shared" si="7"/>
        <v>33534.039015903872</v>
      </c>
      <c r="E46" s="75">
        <f t="shared" si="6"/>
        <v>194658.87053887377</v>
      </c>
      <c r="F46" s="75">
        <f t="shared" si="5"/>
        <v>228192.90955477764</v>
      </c>
      <c r="G46" s="75">
        <f t="shared" si="3"/>
        <v>2320394.0556539171</v>
      </c>
    </row>
    <row r="47" spans="1:9">
      <c r="A47" s="74"/>
      <c r="B47" s="74" t="s">
        <v>89</v>
      </c>
      <c r="C47" s="75">
        <f t="shared" si="4"/>
        <v>2320394.0556539171</v>
      </c>
      <c r="D47" s="75">
        <f t="shared" si="7"/>
        <v>30938.587408718897</v>
      </c>
      <c r="E47" s="75">
        <f t="shared" si="6"/>
        <v>197254.32214605875</v>
      </c>
      <c r="F47" s="75">
        <f t="shared" si="5"/>
        <v>228192.90955477764</v>
      </c>
      <c r="G47" s="75">
        <f t="shared" si="3"/>
        <v>2123139.7335078586</v>
      </c>
    </row>
    <row r="48" spans="1:9">
      <c r="A48" s="74"/>
      <c r="B48" s="74" t="s">
        <v>90</v>
      </c>
      <c r="C48" s="75">
        <f t="shared" si="4"/>
        <v>2123139.7335078586</v>
      </c>
      <c r="D48" s="75">
        <f t="shared" si="7"/>
        <v>28308.529780104782</v>
      </c>
      <c r="E48" s="75">
        <f t="shared" si="6"/>
        <v>199884.37977467285</v>
      </c>
      <c r="F48" s="75">
        <f t="shared" si="5"/>
        <v>228192.90955477764</v>
      </c>
      <c r="G48" s="75">
        <f t="shared" si="3"/>
        <v>1923255.3537331857</v>
      </c>
    </row>
    <row r="49" spans="1:9">
      <c r="A49" s="74"/>
      <c r="B49" s="74" t="s">
        <v>91</v>
      </c>
      <c r="C49" s="75">
        <f t="shared" si="4"/>
        <v>1923255.3537331857</v>
      </c>
      <c r="D49" s="75">
        <f t="shared" si="7"/>
        <v>25643.404716442474</v>
      </c>
      <c r="E49" s="75">
        <f t="shared" si="6"/>
        <v>202549.50483833515</v>
      </c>
      <c r="F49" s="75">
        <f t="shared" si="5"/>
        <v>228192.90955477764</v>
      </c>
      <c r="G49" s="75">
        <f t="shared" si="3"/>
        <v>1720705.8488948506</v>
      </c>
    </row>
    <row r="50" spans="1:9">
      <c r="A50" s="74"/>
      <c r="B50" s="74" t="s">
        <v>92</v>
      </c>
      <c r="C50" s="75">
        <f t="shared" si="4"/>
        <v>1720705.8488948506</v>
      </c>
      <c r="D50" s="75">
        <f t="shared" si="7"/>
        <v>22942.744651931342</v>
      </c>
      <c r="E50" s="75">
        <f t="shared" si="6"/>
        <v>205250.1649028463</v>
      </c>
      <c r="F50" s="75">
        <f t="shared" si="5"/>
        <v>228192.90955477764</v>
      </c>
      <c r="G50" s="75">
        <f t="shared" si="3"/>
        <v>1515455.6839920043</v>
      </c>
    </row>
    <row r="51" spans="1:9">
      <c r="A51" s="74"/>
      <c r="B51" s="74" t="s">
        <v>93</v>
      </c>
      <c r="C51" s="75">
        <f t="shared" si="4"/>
        <v>1515455.6839920043</v>
      </c>
      <c r="D51" s="75">
        <f t="shared" si="7"/>
        <v>20206.075786560057</v>
      </c>
      <c r="E51" s="75">
        <f t="shared" si="6"/>
        <v>207986.83376821759</v>
      </c>
      <c r="F51" s="75">
        <f t="shared" si="5"/>
        <v>228192.90955477764</v>
      </c>
      <c r="G51" s="75">
        <f t="shared" si="3"/>
        <v>1307468.8502237867</v>
      </c>
    </row>
    <row r="52" spans="1:9">
      <c r="A52" s="74"/>
      <c r="B52" s="74" t="s">
        <v>94</v>
      </c>
      <c r="C52" s="75">
        <f t="shared" si="4"/>
        <v>1307468.8502237867</v>
      </c>
      <c r="D52" s="75">
        <f t="shared" si="7"/>
        <v>17432.918002983821</v>
      </c>
      <c r="E52" s="75">
        <f t="shared" si="6"/>
        <v>210759.99155179382</v>
      </c>
      <c r="F52" s="75">
        <f t="shared" si="5"/>
        <v>228192.90955477764</v>
      </c>
      <c r="G52" s="75">
        <f t="shared" si="3"/>
        <v>1096708.8586719928</v>
      </c>
    </row>
    <row r="53" spans="1:9">
      <c r="A53" s="74"/>
      <c r="B53" s="74" t="s">
        <v>95</v>
      </c>
      <c r="C53" s="75">
        <f t="shared" si="4"/>
        <v>1096708.8586719928</v>
      </c>
      <c r="D53" s="75">
        <f t="shared" si="7"/>
        <v>14622.784782293238</v>
      </c>
      <c r="E53" s="75">
        <f t="shared" si="6"/>
        <v>213570.12477248441</v>
      </c>
      <c r="F53" s="75">
        <f t="shared" si="5"/>
        <v>228192.90955477764</v>
      </c>
      <c r="G53" s="75">
        <f t="shared" si="3"/>
        <v>883138.73389950837</v>
      </c>
    </row>
    <row r="54" spans="1:9">
      <c r="A54" s="74"/>
      <c r="B54" s="74" t="s">
        <v>96</v>
      </c>
      <c r="C54" s="75">
        <f t="shared" si="4"/>
        <v>883138.73389950837</v>
      </c>
      <c r="D54" s="75">
        <f t="shared" si="7"/>
        <v>11775.183118660112</v>
      </c>
      <c r="E54" s="75">
        <f t="shared" si="6"/>
        <v>216417.72643611752</v>
      </c>
      <c r="F54" s="75">
        <f t="shared" si="5"/>
        <v>228192.90955477764</v>
      </c>
      <c r="G54" s="75">
        <f t="shared" si="3"/>
        <v>666721.00746339082</v>
      </c>
    </row>
    <row r="55" spans="1:9">
      <c r="A55" s="74"/>
      <c r="B55" s="74" t="s">
        <v>97</v>
      </c>
      <c r="C55" s="75">
        <f t="shared" si="4"/>
        <v>666721.00746339082</v>
      </c>
      <c r="D55" s="75">
        <f t="shared" si="7"/>
        <v>8889.6134328452117</v>
      </c>
      <c r="E55" s="75">
        <f t="shared" si="6"/>
        <v>219303.29612193242</v>
      </c>
      <c r="F55" s="75">
        <f t="shared" si="5"/>
        <v>228192.90955477764</v>
      </c>
      <c r="G55" s="75">
        <f t="shared" si="3"/>
        <v>447417.71134145837</v>
      </c>
    </row>
    <row r="56" spans="1:9">
      <c r="A56" s="74"/>
      <c r="B56" s="74" t="s">
        <v>98</v>
      </c>
      <c r="C56" s="75">
        <f t="shared" si="4"/>
        <v>447417.71134145837</v>
      </c>
      <c r="D56" s="75">
        <f t="shared" si="7"/>
        <v>5965.5694845527787</v>
      </c>
      <c r="E56" s="75">
        <f t="shared" si="6"/>
        <v>222227.34007022486</v>
      </c>
      <c r="F56" s="75">
        <f t="shared" si="5"/>
        <v>228192.90955477764</v>
      </c>
      <c r="G56" s="75">
        <f t="shared" si="3"/>
        <v>225190.37127123351</v>
      </c>
    </row>
    <row r="57" spans="1:9">
      <c r="A57" s="74"/>
      <c r="B57" s="74" t="s">
        <v>99</v>
      </c>
      <c r="C57" s="75">
        <f t="shared" si="4"/>
        <v>225190.37127123351</v>
      </c>
      <c r="D57" s="75">
        <f t="shared" si="7"/>
        <v>3002.5382836164467</v>
      </c>
      <c r="E57" s="75">
        <f t="shared" si="6"/>
        <v>225190.37127116119</v>
      </c>
      <c r="F57" s="75">
        <f t="shared" si="5"/>
        <v>228192.90955477764</v>
      </c>
      <c r="G57" s="75">
        <f t="shared" si="3"/>
        <v>7.2323018684983253E-8</v>
      </c>
      <c r="H57" s="1"/>
      <c r="I57" s="1"/>
    </row>
    <row r="58" spans="1:9">
      <c r="A58" s="74" t="s">
        <v>15</v>
      </c>
      <c r="B58" s="74" t="s">
        <v>100</v>
      </c>
      <c r="C58" s="75">
        <f t="shared" si="4"/>
        <v>7.2323018684983253E-8</v>
      </c>
      <c r="D58" s="75">
        <f t="shared" si="7"/>
        <v>9.643069157997767E-10</v>
      </c>
      <c r="E58" s="75">
        <f t="shared" si="6"/>
        <v>228192.90955477668</v>
      </c>
      <c r="F58" s="75">
        <f t="shared" si="5"/>
        <v>228192.90955477764</v>
      </c>
      <c r="G58" s="75">
        <f t="shared" si="3"/>
        <v>-228192.90955470435</v>
      </c>
    </row>
    <row r="59" spans="1:9">
      <c r="A59" s="74"/>
      <c r="B59" s="74" t="s">
        <v>101</v>
      </c>
      <c r="C59" s="75">
        <f t="shared" si="4"/>
        <v>-228192.90955470435</v>
      </c>
      <c r="D59" s="75">
        <f t="shared" si="7"/>
        <v>-3042.5721273960585</v>
      </c>
      <c r="E59" s="75">
        <f t="shared" si="6"/>
        <v>231235.4816821737</v>
      </c>
      <c r="F59" s="75">
        <f t="shared" si="5"/>
        <v>228192.90955477764</v>
      </c>
      <c r="G59" s="75">
        <f t="shared" si="3"/>
        <v>-459428.39123687806</v>
      </c>
    </row>
    <row r="60" spans="1:9">
      <c r="A60" s="74"/>
      <c r="B60" s="74" t="s">
        <v>102</v>
      </c>
      <c r="C60" s="75">
        <f t="shared" si="4"/>
        <v>-459428.39123687806</v>
      </c>
      <c r="D60" s="75">
        <f t="shared" si="7"/>
        <v>-6125.7118831583748</v>
      </c>
      <c r="E60" s="75">
        <f t="shared" si="6"/>
        <v>234318.621437936</v>
      </c>
      <c r="F60" s="75">
        <f t="shared" si="5"/>
        <v>228192.90955477764</v>
      </c>
      <c r="G60" s="75">
        <f t="shared" si="3"/>
        <v>-693747.01267481409</v>
      </c>
    </row>
    <row r="61" spans="1:9">
      <c r="A61" s="74"/>
      <c r="B61" s="74" t="s">
        <v>103</v>
      </c>
      <c r="C61" s="75">
        <f t="shared" si="4"/>
        <v>-693747.01267481409</v>
      </c>
      <c r="D61" s="75">
        <f t="shared" si="7"/>
        <v>-9249.9601689975225</v>
      </c>
      <c r="E61" s="75">
        <f t="shared" si="6"/>
        <v>237442.86972377516</v>
      </c>
      <c r="F61" s="75">
        <f t="shared" si="5"/>
        <v>228192.90955477764</v>
      </c>
      <c r="G61" s="75">
        <f t="shared" si="3"/>
        <v>-931189.88239858928</v>
      </c>
    </row>
    <row r="62" spans="1:9">
      <c r="A62" s="74"/>
      <c r="B62" s="74" t="s">
        <v>104</v>
      </c>
      <c r="C62" s="75">
        <f t="shared" si="4"/>
        <v>-931189.88239858928</v>
      </c>
      <c r="D62" s="75">
        <f t="shared" si="7"/>
        <v>-12415.865098647859</v>
      </c>
      <c r="E62" s="75">
        <f t="shared" si="6"/>
        <v>240608.7746534255</v>
      </c>
      <c r="F62" s="75">
        <f t="shared" si="5"/>
        <v>228192.90955477764</v>
      </c>
      <c r="G62" s="75">
        <f t="shared" si="3"/>
        <v>-1171798.6570520147</v>
      </c>
    </row>
    <row r="63" spans="1:9">
      <c r="A63" s="74"/>
      <c r="B63" s="74" t="s">
        <v>105</v>
      </c>
      <c r="C63" s="75">
        <f t="shared" si="4"/>
        <v>-1171798.6570520147</v>
      </c>
      <c r="D63" s="75">
        <f t="shared" si="7"/>
        <v>-15623.982094026864</v>
      </c>
      <c r="E63" s="75">
        <f t="shared" si="6"/>
        <v>243816.89164880451</v>
      </c>
      <c r="F63" s="75">
        <f t="shared" si="5"/>
        <v>228192.90955477764</v>
      </c>
      <c r="G63" s="75">
        <f t="shared" si="3"/>
        <v>-1415615.5487008193</v>
      </c>
    </row>
    <row r="64" spans="1:9">
      <c r="A64" s="74"/>
      <c r="B64" s="74" t="s">
        <v>106</v>
      </c>
      <c r="C64" s="75">
        <f t="shared" si="4"/>
        <v>-1415615.5487008193</v>
      </c>
      <c r="D64" s="75">
        <f t="shared" si="7"/>
        <v>-18874.873982677589</v>
      </c>
      <c r="E64" s="75">
        <f t="shared" si="6"/>
        <v>247067.78353745522</v>
      </c>
      <c r="F64" s="75">
        <f t="shared" si="5"/>
        <v>228192.90955477764</v>
      </c>
      <c r="G64" s="75">
        <f t="shared" si="3"/>
        <v>-1662683.3322382744</v>
      </c>
    </row>
    <row r="65" spans="1:9">
      <c r="A65" s="74"/>
      <c r="B65" s="74" t="s">
        <v>107</v>
      </c>
      <c r="C65" s="75">
        <f t="shared" si="4"/>
        <v>-1662683.3322382744</v>
      </c>
      <c r="D65" s="75">
        <f t="shared" si="7"/>
        <v>-22169.111096510325</v>
      </c>
      <c r="E65" s="75">
        <f t="shared" si="6"/>
        <v>250362.02065128795</v>
      </c>
      <c r="F65" s="75">
        <f t="shared" si="5"/>
        <v>228192.90955477764</v>
      </c>
      <c r="G65" s="75">
        <f t="shared" si="3"/>
        <v>-1913045.3528895623</v>
      </c>
    </row>
    <row r="66" spans="1:9">
      <c r="A66" s="74"/>
      <c r="B66" s="74" t="s">
        <v>108</v>
      </c>
      <c r="C66" s="75">
        <f t="shared" si="4"/>
        <v>-1913045.3528895623</v>
      </c>
      <c r="D66" s="75">
        <f t="shared" si="7"/>
        <v>-25507.271371860828</v>
      </c>
      <c r="E66" s="75">
        <f t="shared" si="6"/>
        <v>253700.18092663848</v>
      </c>
      <c r="F66" s="75">
        <f t="shared" si="5"/>
        <v>228192.90955477764</v>
      </c>
      <c r="G66" s="75">
        <f t="shared" si="3"/>
        <v>-2166745.5338162007</v>
      </c>
    </row>
    <row r="67" spans="1:9">
      <c r="A67" s="74"/>
      <c r="B67" s="74" t="s">
        <v>109</v>
      </c>
      <c r="C67" s="75">
        <f t="shared" si="4"/>
        <v>-2166745.5338162007</v>
      </c>
      <c r="D67" s="75">
        <f t="shared" si="7"/>
        <v>-28889.940450882674</v>
      </c>
      <c r="E67" s="75">
        <f t="shared" si="6"/>
        <v>257082.85000566032</v>
      </c>
      <c r="F67" s="75">
        <f t="shared" si="5"/>
        <v>228192.90955477764</v>
      </c>
      <c r="G67" s="75">
        <f t="shared" si="3"/>
        <v>-2423828.3838218609</v>
      </c>
    </row>
    <row r="68" spans="1:9">
      <c r="A68" s="74"/>
      <c r="B68" s="74" t="s">
        <v>110</v>
      </c>
      <c r="C68" s="75">
        <f t="shared" si="4"/>
        <v>-2423828.3838218609</v>
      </c>
      <c r="D68" s="75">
        <f t="shared" si="7"/>
        <v>-32317.711784291478</v>
      </c>
      <c r="E68" s="75">
        <f t="shared" si="6"/>
        <v>260510.62133906913</v>
      </c>
      <c r="F68" s="75">
        <f t="shared" si="5"/>
        <v>228192.90955477764</v>
      </c>
      <c r="G68" s="75">
        <f t="shared" si="3"/>
        <v>-2684339.0051609301</v>
      </c>
    </row>
    <row r="69" spans="1:9">
      <c r="A69" s="74"/>
      <c r="B69" s="74" t="s">
        <v>111</v>
      </c>
      <c r="C69" s="75">
        <f t="shared" si="4"/>
        <v>-2684339.0051609301</v>
      </c>
      <c r="D69" s="75">
        <f t="shared" si="7"/>
        <v>-35791.186735479067</v>
      </c>
      <c r="E69" s="75">
        <f t="shared" si="6"/>
        <v>263984.09629025671</v>
      </c>
      <c r="F69" s="75">
        <f t="shared" si="5"/>
        <v>228192.90955477764</v>
      </c>
      <c r="G69" s="75">
        <f t="shared" si="3"/>
        <v>-2948323.1014511869</v>
      </c>
      <c r="H69" s="1"/>
      <c r="I69" s="1"/>
    </row>
    <row r="70" spans="1:9">
      <c r="A70" s="74" t="s">
        <v>16</v>
      </c>
      <c r="B70" s="74" t="s">
        <v>112</v>
      </c>
      <c r="C70" s="75">
        <f t="shared" si="4"/>
        <v>-2948323.1014511869</v>
      </c>
      <c r="D70" s="75">
        <f t="shared" si="7"/>
        <v>-39310.974686015827</v>
      </c>
      <c r="E70" s="75">
        <f t="shared" si="6"/>
        <v>267503.88424079347</v>
      </c>
      <c r="F70" s="75">
        <f t="shared" si="5"/>
        <v>228192.90955477764</v>
      </c>
      <c r="G70" s="75">
        <f t="shared" si="3"/>
        <v>-3215826.9856919805</v>
      </c>
    </row>
    <row r="71" spans="1:9">
      <c r="A71" s="74"/>
      <c r="B71" s="74" t="s">
        <v>113</v>
      </c>
      <c r="C71" s="75">
        <f t="shared" si="4"/>
        <v>-3215826.9856919805</v>
      </c>
      <c r="D71" s="75">
        <f t="shared" si="7"/>
        <v>-42877.693142559736</v>
      </c>
      <c r="E71" s="75">
        <f t="shared" si="6"/>
        <v>271070.6026973374</v>
      </c>
      <c r="F71" s="75">
        <f t="shared" si="5"/>
        <v>228192.90955477764</v>
      </c>
      <c r="G71" s="75">
        <f t="shared" si="3"/>
        <v>-3486897.588389318</v>
      </c>
    </row>
    <row r="72" spans="1:9">
      <c r="A72" s="74"/>
      <c r="B72" s="74" t="s">
        <v>114</v>
      </c>
      <c r="C72" s="75">
        <f t="shared" si="4"/>
        <v>-3486897.588389318</v>
      </c>
      <c r="D72" s="75">
        <f t="shared" si="7"/>
        <v>-46491.967845190906</v>
      </c>
      <c r="E72" s="75">
        <f t="shared" si="6"/>
        <v>274684.87739996857</v>
      </c>
      <c r="F72" s="75">
        <f t="shared" si="5"/>
        <v>228192.90955477764</v>
      </c>
      <c r="G72" s="75">
        <f t="shared" si="3"/>
        <v>-3761582.4657892864</v>
      </c>
    </row>
    <row r="73" spans="1:9">
      <c r="A73" s="74"/>
      <c r="B73" s="74" t="s">
        <v>115</v>
      </c>
      <c r="C73" s="75">
        <f t="shared" si="4"/>
        <v>-3761582.4657892864</v>
      </c>
      <c r="D73" s="75">
        <f t="shared" si="7"/>
        <v>-50154.432877190491</v>
      </c>
      <c r="E73" s="75">
        <f t="shared" si="6"/>
        <v>278347.34243196814</v>
      </c>
      <c r="F73" s="75">
        <f t="shared" si="5"/>
        <v>228192.90955477764</v>
      </c>
      <c r="G73" s="75">
        <f t="shared" si="3"/>
        <v>-4039929.8082212545</v>
      </c>
    </row>
    <row r="74" spans="1:9">
      <c r="A74" s="74"/>
      <c r="B74" s="74" t="s">
        <v>116</v>
      </c>
      <c r="C74" s="75">
        <f t="shared" si="4"/>
        <v>-4039929.8082212545</v>
      </c>
      <c r="D74" s="75">
        <f t="shared" ref="D74:D93" si="8">C74*$D$5/12</f>
        <v>-53865.730776283395</v>
      </c>
      <c r="E74" s="75">
        <f t="shared" si="6"/>
        <v>282058.64033106103</v>
      </c>
      <c r="F74" s="75">
        <f t="shared" si="5"/>
        <v>228192.90955477764</v>
      </c>
      <c r="G74" s="75">
        <f t="shared" si="3"/>
        <v>-4321988.4485523151</v>
      </c>
    </row>
    <row r="75" spans="1:9">
      <c r="A75" s="74"/>
      <c r="B75" s="74" t="s">
        <v>117</v>
      </c>
      <c r="C75" s="75">
        <f t="shared" si="4"/>
        <v>-4321988.4485523151</v>
      </c>
      <c r="D75" s="75">
        <f t="shared" si="8"/>
        <v>-57626.512647364201</v>
      </c>
      <c r="E75" s="75">
        <f t="shared" si="6"/>
        <v>285819.42220214184</v>
      </c>
      <c r="F75" s="75">
        <f t="shared" ref="F75:F93" si="9">$D$8</f>
        <v>228192.90955477764</v>
      </c>
      <c r="G75" s="75">
        <f t="shared" ref="G75:G93" si="10">C75-E75</f>
        <v>-4607807.8707544571</v>
      </c>
    </row>
    <row r="76" spans="1:9">
      <c r="A76" s="74"/>
      <c r="B76" s="74" t="s">
        <v>118</v>
      </c>
      <c r="C76" s="75">
        <f t="shared" ref="C76:C93" si="11">G75</f>
        <v>-4607807.8707544571</v>
      </c>
      <c r="D76" s="75">
        <f t="shared" si="8"/>
        <v>-61437.43827672609</v>
      </c>
      <c r="E76" s="75">
        <f t="shared" si="6"/>
        <v>289630.34783150372</v>
      </c>
      <c r="F76" s="75">
        <f t="shared" si="9"/>
        <v>228192.90955477764</v>
      </c>
      <c r="G76" s="75">
        <f t="shared" si="10"/>
        <v>-4897438.2185859606</v>
      </c>
    </row>
    <row r="77" spans="1:9">
      <c r="A77" s="74"/>
      <c r="B77" s="74" t="s">
        <v>119</v>
      </c>
      <c r="C77" s="75">
        <f t="shared" si="11"/>
        <v>-4897438.2185859606</v>
      </c>
      <c r="D77" s="75">
        <f t="shared" si="8"/>
        <v>-65299.176247812808</v>
      </c>
      <c r="E77" s="75">
        <f t="shared" si="6"/>
        <v>293492.08580259047</v>
      </c>
      <c r="F77" s="75">
        <f t="shared" si="9"/>
        <v>228192.90955477764</v>
      </c>
      <c r="G77" s="75">
        <f t="shared" si="10"/>
        <v>-5190930.304388551</v>
      </c>
    </row>
    <row r="78" spans="1:9">
      <c r="A78" s="74"/>
      <c r="B78" s="74" t="s">
        <v>120</v>
      </c>
      <c r="C78" s="75">
        <f t="shared" si="11"/>
        <v>-5190930.304388551</v>
      </c>
      <c r="D78" s="75">
        <f t="shared" si="8"/>
        <v>-69212.404058514017</v>
      </c>
      <c r="E78" s="75">
        <f t="shared" si="6"/>
        <v>297405.31361329166</v>
      </c>
      <c r="F78" s="75">
        <f t="shared" si="9"/>
        <v>228192.90955477764</v>
      </c>
      <c r="G78" s="75">
        <f t="shared" si="10"/>
        <v>-5488335.6180018429</v>
      </c>
    </row>
    <row r="79" spans="1:9">
      <c r="A79" s="74"/>
      <c r="B79" s="74" t="s">
        <v>121</v>
      </c>
      <c r="C79" s="75">
        <f t="shared" si="11"/>
        <v>-5488335.6180018429</v>
      </c>
      <c r="D79" s="75">
        <f t="shared" si="8"/>
        <v>-73177.808240024577</v>
      </c>
      <c r="E79" s="75">
        <f t="shared" si="6"/>
        <v>301370.71779480221</v>
      </c>
      <c r="F79" s="75">
        <f t="shared" si="9"/>
        <v>228192.90955477764</v>
      </c>
      <c r="G79" s="75">
        <f t="shared" si="10"/>
        <v>-5789706.3357966449</v>
      </c>
    </row>
    <row r="80" spans="1:9">
      <c r="A80" s="74"/>
      <c r="B80" s="74" t="s">
        <v>122</v>
      </c>
      <c r="C80" s="75">
        <f t="shared" si="11"/>
        <v>-5789706.3357966449</v>
      </c>
      <c r="D80" s="75">
        <f t="shared" si="8"/>
        <v>-77196.084477288605</v>
      </c>
      <c r="E80" s="75">
        <f t="shared" si="6"/>
        <v>305388.99403206626</v>
      </c>
      <c r="F80" s="75">
        <f t="shared" si="9"/>
        <v>228192.90955477764</v>
      </c>
      <c r="G80" s="75">
        <f t="shared" si="10"/>
        <v>-6095095.3298287112</v>
      </c>
    </row>
    <row r="81" spans="1:9">
      <c r="A81" s="74"/>
      <c r="B81" s="74" t="s">
        <v>123</v>
      </c>
      <c r="C81" s="75">
        <f t="shared" si="11"/>
        <v>-6095095.3298287112</v>
      </c>
      <c r="D81" s="75">
        <f t="shared" si="8"/>
        <v>-81267.937731049489</v>
      </c>
      <c r="E81" s="75">
        <f t="shared" ref="E81:E93" si="12">F81-D81</f>
        <v>309460.84728582716</v>
      </c>
      <c r="F81" s="75">
        <f t="shared" si="9"/>
        <v>228192.90955477764</v>
      </c>
      <c r="G81" s="75">
        <f t="shared" si="10"/>
        <v>-6404556.1771145388</v>
      </c>
      <c r="H81" s="1"/>
      <c r="I81" s="1"/>
    </row>
    <row r="82" spans="1:9">
      <c r="A82" s="74" t="s">
        <v>276</v>
      </c>
      <c r="B82" s="74" t="s">
        <v>211</v>
      </c>
      <c r="C82" s="75">
        <f t="shared" si="11"/>
        <v>-6404556.1771145388</v>
      </c>
      <c r="D82" s="75">
        <f t="shared" si="8"/>
        <v>-85394.08236152718</v>
      </c>
      <c r="E82" s="75">
        <f t="shared" si="12"/>
        <v>313586.9919163048</v>
      </c>
      <c r="F82" s="75">
        <f t="shared" si="9"/>
        <v>228192.90955477764</v>
      </c>
      <c r="G82" s="75">
        <f t="shared" si="10"/>
        <v>-6718143.1690308433</v>
      </c>
    </row>
    <row r="83" spans="1:9">
      <c r="A83" s="74"/>
      <c r="B83" s="74" t="s">
        <v>212</v>
      </c>
      <c r="C83" s="75">
        <f t="shared" si="11"/>
        <v>-6718143.1690308433</v>
      </c>
      <c r="D83" s="75">
        <f t="shared" si="8"/>
        <v>-89575.242253744582</v>
      </c>
      <c r="E83" s="75">
        <f t="shared" si="12"/>
        <v>317768.15180852223</v>
      </c>
      <c r="F83" s="75">
        <f t="shared" si="9"/>
        <v>228192.90955477764</v>
      </c>
      <c r="G83" s="75">
        <f t="shared" si="10"/>
        <v>-7035911.3208393659</v>
      </c>
    </row>
    <row r="84" spans="1:9">
      <c r="A84" s="74"/>
      <c r="B84" s="74" t="s">
        <v>213</v>
      </c>
      <c r="C84" s="75">
        <f t="shared" si="11"/>
        <v>-7035911.3208393659</v>
      </c>
      <c r="D84" s="75">
        <f t="shared" si="8"/>
        <v>-93812.150944524896</v>
      </c>
      <c r="E84" s="75">
        <f t="shared" si="12"/>
        <v>322005.06049930252</v>
      </c>
      <c r="F84" s="75">
        <f t="shared" si="9"/>
        <v>228192.90955477764</v>
      </c>
      <c r="G84" s="75">
        <f t="shared" si="10"/>
        <v>-7357916.3813386681</v>
      </c>
    </row>
    <row r="85" spans="1:9">
      <c r="A85" s="74"/>
      <c r="B85" s="74" t="s">
        <v>214</v>
      </c>
      <c r="C85" s="75">
        <f t="shared" si="11"/>
        <v>-7357916.3813386681</v>
      </c>
      <c r="D85" s="75">
        <f t="shared" si="8"/>
        <v>-98105.55175118224</v>
      </c>
      <c r="E85" s="75">
        <f t="shared" si="12"/>
        <v>326298.46130595985</v>
      </c>
      <c r="F85" s="75">
        <f t="shared" si="9"/>
        <v>228192.90955477764</v>
      </c>
      <c r="G85" s="75">
        <f t="shared" si="10"/>
        <v>-7684214.8426446281</v>
      </c>
    </row>
    <row r="86" spans="1:9">
      <c r="A86" s="74"/>
      <c r="B86" s="74" t="s">
        <v>215</v>
      </c>
      <c r="C86" s="75">
        <f t="shared" si="11"/>
        <v>-7684214.8426446281</v>
      </c>
      <c r="D86" s="75">
        <f t="shared" si="8"/>
        <v>-102456.19790192838</v>
      </c>
      <c r="E86" s="75">
        <f t="shared" si="12"/>
        <v>330649.107456706</v>
      </c>
      <c r="F86" s="75">
        <f t="shared" si="9"/>
        <v>228192.90955477764</v>
      </c>
      <c r="G86" s="75">
        <f t="shared" si="10"/>
        <v>-8014863.9501013346</v>
      </c>
    </row>
    <row r="87" spans="1:9">
      <c r="A87" s="74"/>
      <c r="B87" s="74" t="s">
        <v>216</v>
      </c>
      <c r="C87" s="75">
        <f t="shared" si="11"/>
        <v>-8014863.9501013346</v>
      </c>
      <c r="D87" s="75">
        <f t="shared" si="8"/>
        <v>-106864.85266801779</v>
      </c>
      <c r="E87" s="75">
        <f t="shared" si="12"/>
        <v>335057.7622227954</v>
      </c>
      <c r="F87" s="75">
        <f t="shared" si="9"/>
        <v>228192.90955477764</v>
      </c>
      <c r="G87" s="75">
        <f t="shared" si="10"/>
        <v>-8349921.7123241303</v>
      </c>
    </row>
    <row r="88" spans="1:9">
      <c r="A88" s="74"/>
      <c r="B88" s="74" t="s">
        <v>217</v>
      </c>
      <c r="C88" s="75">
        <f t="shared" si="11"/>
        <v>-8349921.7123241303</v>
      </c>
      <c r="D88" s="75">
        <f t="shared" si="8"/>
        <v>-111332.28949765507</v>
      </c>
      <c r="E88" s="75">
        <f t="shared" si="12"/>
        <v>339525.19905243273</v>
      </c>
      <c r="F88" s="75">
        <f t="shared" si="9"/>
        <v>228192.90955477764</v>
      </c>
      <c r="G88" s="75">
        <f t="shared" si="10"/>
        <v>-8689446.9113765638</v>
      </c>
    </row>
    <row r="89" spans="1:9">
      <c r="A89" s="74"/>
      <c r="B89" s="74" t="s">
        <v>218</v>
      </c>
      <c r="C89" s="75">
        <f t="shared" si="11"/>
        <v>-8689446.9113765638</v>
      </c>
      <c r="D89" s="75">
        <f t="shared" si="8"/>
        <v>-115859.29215168751</v>
      </c>
      <c r="E89" s="75">
        <f t="shared" si="12"/>
        <v>344052.20170646516</v>
      </c>
      <c r="F89" s="75">
        <f t="shared" si="9"/>
        <v>228192.90955477764</v>
      </c>
      <c r="G89" s="75">
        <f t="shared" si="10"/>
        <v>-9033499.1130830292</v>
      </c>
    </row>
    <row r="90" spans="1:9">
      <c r="A90" s="74"/>
      <c r="B90" s="74" t="s">
        <v>219</v>
      </c>
      <c r="C90" s="75">
        <f t="shared" si="11"/>
        <v>-9033499.1130830292</v>
      </c>
      <c r="D90" s="75">
        <f t="shared" si="8"/>
        <v>-120446.65484110707</v>
      </c>
      <c r="E90" s="75">
        <f t="shared" si="12"/>
        <v>348639.56439588469</v>
      </c>
      <c r="F90" s="75">
        <f t="shared" si="9"/>
        <v>228192.90955477764</v>
      </c>
      <c r="G90" s="75">
        <f t="shared" si="10"/>
        <v>-9382138.6774789132</v>
      </c>
    </row>
    <row r="91" spans="1:9">
      <c r="A91" s="74"/>
      <c r="B91" s="74" t="s">
        <v>220</v>
      </c>
      <c r="C91" s="75">
        <f t="shared" si="11"/>
        <v>-9382138.6774789132</v>
      </c>
      <c r="D91" s="75">
        <f t="shared" si="8"/>
        <v>-125095.18236638552</v>
      </c>
      <c r="E91" s="75">
        <f t="shared" si="12"/>
        <v>353288.09192116314</v>
      </c>
      <c r="F91" s="75">
        <f t="shared" si="9"/>
        <v>228192.90955477764</v>
      </c>
      <c r="G91" s="75">
        <f t="shared" si="10"/>
        <v>-9735426.7694000769</v>
      </c>
    </row>
    <row r="92" spans="1:9">
      <c r="A92" s="74"/>
      <c r="B92" s="74" t="s">
        <v>221</v>
      </c>
      <c r="C92" s="75">
        <f t="shared" si="11"/>
        <v>-9735426.7694000769</v>
      </c>
      <c r="D92" s="75">
        <f t="shared" si="8"/>
        <v>-129805.69025866769</v>
      </c>
      <c r="E92" s="75">
        <f t="shared" si="12"/>
        <v>357998.59981344535</v>
      </c>
      <c r="F92" s="75">
        <f t="shared" si="9"/>
        <v>228192.90955477764</v>
      </c>
      <c r="G92" s="75">
        <f t="shared" si="10"/>
        <v>-10093425.369213521</v>
      </c>
    </row>
    <row r="93" spans="1:9">
      <c r="A93" s="74"/>
      <c r="B93" s="74" t="s">
        <v>222</v>
      </c>
      <c r="C93" s="75">
        <f t="shared" si="11"/>
        <v>-10093425.369213521</v>
      </c>
      <c r="D93" s="75">
        <f t="shared" si="8"/>
        <v>-134579.00492284694</v>
      </c>
      <c r="E93" s="75">
        <f t="shared" si="12"/>
        <v>362771.91447762458</v>
      </c>
      <c r="F93" s="75">
        <f t="shared" si="9"/>
        <v>228192.90955477764</v>
      </c>
      <c r="G93" s="75">
        <f t="shared" si="10"/>
        <v>-10456197.283691145</v>
      </c>
    </row>
    <row r="94" spans="1:9">
      <c r="A94" s="73"/>
      <c r="B94" s="73"/>
      <c r="C94" s="73"/>
      <c r="D94" s="80">
        <f>SUM(D10:D93)</f>
        <v>624746.35918230994</v>
      </c>
      <c r="E94" s="80">
        <f>SUM(E10:E93)</f>
        <v>17758483.481951147</v>
      </c>
      <c r="F94" s="73"/>
      <c r="G94" s="73"/>
    </row>
    <row r="95" spans="1:9" ht="39.950000000000003" customHeight="1">
      <c r="A95" s="386" t="s">
        <v>416</v>
      </c>
      <c r="B95" s="386"/>
      <c r="C95" s="386"/>
      <c r="D95" s="386"/>
      <c r="E95" s="386"/>
      <c r="F95" s="386"/>
      <c r="G95" s="386"/>
      <c r="H95" s="386"/>
    </row>
    <row r="96" spans="1:9">
      <c r="A96" t="s">
        <v>537</v>
      </c>
    </row>
    <row r="97" spans="1:2">
      <c r="A97">
        <v>1</v>
      </c>
      <c r="B97" t="s">
        <v>538</v>
      </c>
    </row>
    <row r="98" spans="1:2">
      <c r="A98">
        <v>2</v>
      </c>
      <c r="B98" t="s">
        <v>539</v>
      </c>
    </row>
  </sheetData>
  <mergeCells count="2">
    <mergeCell ref="A2:G2"/>
    <mergeCell ref="A95:H95"/>
  </mergeCells>
  <pageMargins left="0.7" right="0.7" top="0.75" bottom="0.75" header="0.3" footer="0.3"/>
  <pageSetup scale="59" orientation="portrait" r:id="rId1"/>
</worksheet>
</file>

<file path=xl/worksheets/sheet6.xml><?xml version="1.0" encoding="utf-8"?>
<worksheet xmlns="http://schemas.openxmlformats.org/spreadsheetml/2006/main" xmlns:r="http://schemas.openxmlformats.org/officeDocument/2006/relationships">
  <dimension ref="A2:V71"/>
  <sheetViews>
    <sheetView view="pageBreakPreview" zoomScale="80" zoomScaleSheetLayoutView="80" workbookViewId="0">
      <selection activeCell="E14" sqref="E14"/>
    </sheetView>
  </sheetViews>
  <sheetFormatPr defaultRowHeight="15"/>
  <cols>
    <col min="2" max="2" width="7.5703125" bestFit="1" customWidth="1"/>
    <col min="3" max="3" width="30.5703125" customWidth="1"/>
    <col min="4" max="4" width="16.85546875" bestFit="1" customWidth="1"/>
    <col min="5" max="5" width="12.5703125" bestFit="1"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368" t="s">
        <v>561</v>
      </c>
      <c r="D2" s="368"/>
      <c r="E2" s="368"/>
      <c r="F2" s="368"/>
      <c r="G2" s="368"/>
      <c r="H2" s="368"/>
      <c r="I2" s="368"/>
      <c r="J2" s="368"/>
      <c r="K2" s="368"/>
      <c r="L2" s="176"/>
    </row>
    <row r="4" spans="3:22">
      <c r="C4" s="65" t="s">
        <v>0</v>
      </c>
      <c r="D4" s="65"/>
      <c r="E4" s="66" t="s">
        <v>2</v>
      </c>
      <c r="F4" s="66" t="s">
        <v>3</v>
      </c>
      <c r="G4" s="66" t="s">
        <v>4</v>
      </c>
      <c r="H4" s="66" t="s">
        <v>5</v>
      </c>
      <c r="I4" s="66" t="s">
        <v>6</v>
      </c>
      <c r="J4" s="66" t="s">
        <v>168</v>
      </c>
      <c r="K4" s="66" t="s">
        <v>167</v>
      </c>
      <c r="L4" s="73"/>
      <c r="M4" s="73"/>
      <c r="N4" s="220"/>
      <c r="O4" s="220"/>
      <c r="P4" s="220"/>
      <c r="Q4" s="220"/>
      <c r="R4" s="220"/>
      <c r="S4" s="220"/>
      <c r="T4" s="220"/>
      <c r="U4" s="220"/>
      <c r="V4" s="220"/>
    </row>
    <row r="5" spans="3:22">
      <c r="C5" s="74" t="s">
        <v>370</v>
      </c>
      <c r="D5" s="74"/>
      <c r="E5" s="74"/>
      <c r="F5" s="74"/>
      <c r="G5" s="74"/>
      <c r="H5" s="74"/>
      <c r="I5" s="74"/>
      <c r="J5" s="74"/>
      <c r="K5" s="74"/>
      <c r="L5" s="73"/>
      <c r="M5" s="73"/>
      <c r="N5" s="397" t="s">
        <v>534</v>
      </c>
      <c r="O5" s="397"/>
      <c r="P5" s="397"/>
      <c r="Q5" s="397"/>
      <c r="R5" s="397"/>
      <c r="S5" s="220"/>
      <c r="T5" s="220"/>
      <c r="U5" s="397" t="s">
        <v>535</v>
      </c>
      <c r="V5" s="397"/>
    </row>
    <row r="6" spans="3:22">
      <c r="C6" s="74" t="s">
        <v>371</v>
      </c>
      <c r="D6" s="161"/>
      <c r="E6" s="74"/>
      <c r="F6" s="75">
        <f t="shared" ref="F6:K9" si="0">E15</f>
        <v>2908770.7696953751</v>
      </c>
      <c r="G6" s="75">
        <f t="shared" si="0"/>
        <v>3306551.3877733755</v>
      </c>
      <c r="H6" s="75">
        <f t="shared" si="0"/>
        <v>3729193.2944812509</v>
      </c>
      <c r="I6" s="75">
        <f t="shared" si="0"/>
        <v>3977806.1807799996</v>
      </c>
      <c r="J6" s="75">
        <f t="shared" si="0"/>
        <v>4226419.0670787506</v>
      </c>
      <c r="K6" s="75">
        <f t="shared" si="0"/>
        <v>4475031.9533775011</v>
      </c>
      <c r="L6" s="73"/>
      <c r="M6" s="73"/>
      <c r="N6" s="396" t="s">
        <v>536</v>
      </c>
      <c r="O6" s="396"/>
      <c r="P6" s="396"/>
      <c r="Q6" s="396"/>
      <c r="R6" s="396"/>
      <c r="S6" s="220"/>
      <c r="T6" s="220"/>
      <c r="U6" s="396" t="s">
        <v>536</v>
      </c>
      <c r="V6" s="396"/>
    </row>
    <row r="7" spans="3:22">
      <c r="C7" s="74" t="s">
        <v>449</v>
      </c>
      <c r="D7" s="161"/>
      <c r="E7" s="74"/>
      <c r="F7" s="75">
        <f t="shared" si="0"/>
        <v>827176.11277500005</v>
      </c>
      <c r="G7" s="75">
        <f t="shared" si="0"/>
        <v>1018652.0648062499</v>
      </c>
      <c r="H7" s="75">
        <f t="shared" si="0"/>
        <v>1225446.0930000001</v>
      </c>
      <c r="I7" s="75">
        <f t="shared" si="0"/>
        <v>1378626.8546250002</v>
      </c>
      <c r="J7" s="75">
        <f t="shared" si="0"/>
        <v>1531807.61625</v>
      </c>
      <c r="K7" s="75">
        <f t="shared" si="0"/>
        <v>1684988.377875</v>
      </c>
      <c r="L7" s="73"/>
      <c r="M7" s="73"/>
      <c r="N7" s="221" t="s">
        <v>0</v>
      </c>
      <c r="O7" s="221" t="s">
        <v>162</v>
      </c>
      <c r="P7" s="221" t="s">
        <v>163</v>
      </c>
      <c r="Q7" s="221" t="s">
        <v>312</v>
      </c>
      <c r="R7" s="221" t="s">
        <v>313</v>
      </c>
      <c r="S7" s="220"/>
      <c r="T7" s="220"/>
      <c r="U7" s="293" t="s">
        <v>0</v>
      </c>
      <c r="V7" s="293" t="s">
        <v>490</v>
      </c>
    </row>
    <row r="8" spans="3:22">
      <c r="C8" s="74" t="s">
        <v>552</v>
      </c>
      <c r="D8" s="161"/>
      <c r="E8" s="74"/>
      <c r="F8" s="75">
        <f t="shared" si="0"/>
        <v>339391.05489000003</v>
      </c>
      <c r="G8" s="75">
        <f t="shared" si="0"/>
        <v>537369.17024250003</v>
      </c>
      <c r="H8" s="75">
        <f t="shared" si="0"/>
        <v>754202.34420000017</v>
      </c>
      <c r="I8" s="75">
        <f t="shared" si="0"/>
        <v>942752.93025000009</v>
      </c>
      <c r="J8" s="75">
        <f t="shared" si="0"/>
        <v>1131303.5163</v>
      </c>
      <c r="K8" s="75">
        <f t="shared" si="0"/>
        <v>1319854.1023500003</v>
      </c>
      <c r="L8" s="73"/>
      <c r="M8" s="73"/>
      <c r="N8" s="222" t="s">
        <v>372</v>
      </c>
      <c r="O8" s="222">
        <f>'13.Facility 2 Grain Processing'!C152</f>
        <v>6800</v>
      </c>
      <c r="P8" s="222">
        <f>'13.Facility 2 Grain Processing'!C153</f>
        <v>7500</v>
      </c>
      <c r="Q8" s="222">
        <f>'13.Facility 2 Grain Processing'!C154</f>
        <v>6800</v>
      </c>
      <c r="R8" s="222">
        <f>'13.Facility 2 Grain Processing'!C155</f>
        <v>8000</v>
      </c>
      <c r="S8" s="220"/>
      <c r="T8" s="220"/>
      <c r="U8" s="222" t="s">
        <v>345</v>
      </c>
      <c r="V8" s="222">
        <f>'17.Facility 6 Horti Processing '!C163</f>
        <v>6000</v>
      </c>
    </row>
    <row r="9" spans="3:22">
      <c r="C9" s="74" t="str">
        <f>C18</f>
        <v xml:space="preserve">Horticulture Processing </v>
      </c>
      <c r="D9" s="74"/>
      <c r="E9" s="74"/>
      <c r="F9" s="75">
        <f>E18</f>
        <v>0</v>
      </c>
      <c r="G9" s="75">
        <f t="shared" si="0"/>
        <v>0</v>
      </c>
      <c r="H9" s="75">
        <f t="shared" si="0"/>
        <v>0</v>
      </c>
      <c r="I9" s="75">
        <f t="shared" si="0"/>
        <v>0</v>
      </c>
      <c r="J9" s="75">
        <f t="shared" si="0"/>
        <v>0</v>
      </c>
      <c r="K9" s="75">
        <f t="shared" si="0"/>
        <v>0</v>
      </c>
      <c r="L9" s="73"/>
      <c r="M9" s="73"/>
      <c r="N9" s="222" t="str">
        <f>'13.Facility 2 Grain Processing'!A156</f>
        <v>Oil (Liters)</v>
      </c>
      <c r="O9" s="222">
        <f>('13.Facility 2 Grain Processing'!B156*'13.Facility 2 Grain Processing'!C156/1000)*100</f>
        <v>20</v>
      </c>
      <c r="P9" s="222">
        <f>O9</f>
        <v>20</v>
      </c>
      <c r="Q9" s="222">
        <f t="shared" ref="Q9:R9" si="1">P9</f>
        <v>20</v>
      </c>
      <c r="R9" s="222">
        <f t="shared" si="1"/>
        <v>20</v>
      </c>
      <c r="S9" s="220"/>
      <c r="T9" s="220"/>
      <c r="U9" s="222" t="str">
        <f>'17.Facility 6 Horti Processing '!A164</f>
        <v>Other Consumbales</v>
      </c>
      <c r="V9" s="223">
        <f>'17.Facility 6 Horti Processing '!C164</f>
        <v>2000</v>
      </c>
    </row>
    <row r="10" spans="3:22">
      <c r="C10" s="74"/>
      <c r="D10" s="74"/>
      <c r="E10" s="74"/>
      <c r="F10" s="75"/>
      <c r="G10" s="75"/>
      <c r="H10" s="75"/>
      <c r="I10" s="75"/>
      <c r="J10" s="75"/>
      <c r="K10" s="75"/>
      <c r="L10" s="73"/>
      <c r="M10" s="73"/>
      <c r="N10" s="222" t="str">
        <f>'13.Facility 2 Grain Processing'!A168</f>
        <v xml:space="preserve">Daily Labour </v>
      </c>
      <c r="O10" s="224">
        <f>('13.Facility 2 Grain Processing'!B168*'13.Facility 2 Grain Processing'!C168)/('13.Facility 2 Grain Processing'!B5*'13.Facility 2 Grain Processing'!B6)</f>
        <v>14.0625</v>
      </c>
      <c r="P10" s="224">
        <f>O10</f>
        <v>14.0625</v>
      </c>
      <c r="Q10" s="224">
        <f t="shared" ref="Q10:R10" si="2">P10</f>
        <v>14.0625</v>
      </c>
      <c r="R10" s="224">
        <f t="shared" si="2"/>
        <v>14.0625</v>
      </c>
      <c r="S10" s="220"/>
      <c r="T10" s="220"/>
      <c r="U10" s="222" t="str">
        <f>'17.Facility 6 Horti Processing '!A165</f>
        <v xml:space="preserve">Daily Labour </v>
      </c>
      <c r="V10" s="223">
        <f>'17.Facility 6 Horti Processing '!B165*'17.Facility 6 Horti Processing '!C165/('17.Facility 6 Horti Processing '!B5*'17.Facility 6 Horti Processing '!B6)</f>
        <v>187.5</v>
      </c>
    </row>
    <row r="11" spans="3:22">
      <c r="C11" s="74"/>
      <c r="D11" s="74"/>
      <c r="E11" s="74"/>
      <c r="F11" s="75"/>
      <c r="G11" s="75"/>
      <c r="H11" s="75"/>
      <c r="I11" s="75"/>
      <c r="J11" s="75"/>
      <c r="K11" s="75"/>
      <c r="L11" s="73"/>
      <c r="M11" s="73"/>
      <c r="N11" s="222" t="str">
        <f>'13.Facility 2 Grain Processing'!A169</f>
        <v>Electricity Charges</v>
      </c>
      <c r="O11" s="224">
        <f>('13.Facility 2 Grain Processing'!B169*'13.Facility 2 Grain Processing'!C169)/('13.Facility 2 Grain Processing'!B5*'13.Facility 2 Grain Processing'!B6)</f>
        <v>14.92</v>
      </c>
      <c r="P11" s="224">
        <f>O11</f>
        <v>14.92</v>
      </c>
      <c r="Q11" s="224">
        <f t="shared" ref="Q11" si="3">P11</f>
        <v>14.92</v>
      </c>
      <c r="R11" s="224">
        <f t="shared" ref="R11" si="4">Q11</f>
        <v>14.92</v>
      </c>
      <c r="S11" s="220"/>
      <c r="T11" s="220"/>
      <c r="U11" s="222" t="str">
        <f>'17.Facility 6 Horti Processing '!A166</f>
        <v>Electricity Charges</v>
      </c>
      <c r="V11" s="222">
        <f>'17.Facility 6 Horti Processing '!B166*'17.Facility 6 Horti Processing '!C166/('17.Facility 6 Horti Processing '!B5*'17.Facility 6 Horti Processing '!B6)</f>
        <v>119.36</v>
      </c>
    </row>
    <row r="12" spans="3:22">
      <c r="C12" s="74" t="s">
        <v>1</v>
      </c>
      <c r="D12" s="74"/>
      <c r="E12" s="75"/>
      <c r="F12" s="75">
        <f t="shared" ref="F12:K12" si="5">SUM(F6:F11)</f>
        <v>4075337.9373603752</v>
      </c>
      <c r="G12" s="75">
        <f t="shared" si="5"/>
        <v>4862572.6228221245</v>
      </c>
      <c r="H12" s="75">
        <f t="shared" si="5"/>
        <v>5708841.731681251</v>
      </c>
      <c r="I12" s="75">
        <f t="shared" si="5"/>
        <v>6299185.9656549999</v>
      </c>
      <c r="J12" s="75">
        <f t="shared" si="5"/>
        <v>6889530.1996287508</v>
      </c>
      <c r="K12" s="75">
        <f t="shared" si="5"/>
        <v>7479874.4336025016</v>
      </c>
      <c r="L12" s="73"/>
      <c r="M12" s="73"/>
      <c r="N12" s="222" t="str">
        <f>'13.Facility 2 Grain Processing'!A170</f>
        <v>Loading/Unloading Charges</v>
      </c>
      <c r="O12" s="222">
        <f>'13.Facility 2 Grain Processing'!C170*2</f>
        <v>20</v>
      </c>
      <c r="P12" s="222">
        <f>O12</f>
        <v>20</v>
      </c>
      <c r="Q12" s="222">
        <f t="shared" ref="Q12:R13" si="6">P12</f>
        <v>20</v>
      </c>
      <c r="R12" s="222">
        <f t="shared" si="6"/>
        <v>20</v>
      </c>
      <c r="S12" s="220"/>
      <c r="T12" s="220"/>
      <c r="U12" s="222" t="str">
        <f>'17.Facility 6 Horti Processing '!A167</f>
        <v>Loading/Unloading Charges</v>
      </c>
      <c r="V12" s="222">
        <f>'17.Facility 6 Horti Processing '!C167</f>
        <v>10</v>
      </c>
    </row>
    <row r="13" spans="3:22">
      <c r="C13" s="74"/>
      <c r="D13" s="74"/>
      <c r="E13" s="74"/>
      <c r="F13" s="75"/>
      <c r="G13" s="75"/>
      <c r="H13" s="75"/>
      <c r="I13" s="75"/>
      <c r="J13" s="75"/>
      <c r="K13" s="75"/>
      <c r="L13" s="73"/>
      <c r="M13" s="73"/>
      <c r="N13" s="222" t="str">
        <f>'13.Facility 2 Grain Processing'!A171</f>
        <v>packaging Exp</v>
      </c>
      <c r="O13" s="222">
        <f>'13.Facility 2 Grain Processing'!C171*2</f>
        <v>40</v>
      </c>
      <c r="P13" s="222">
        <f>O13</f>
        <v>40</v>
      </c>
      <c r="Q13" s="222">
        <f t="shared" si="6"/>
        <v>40</v>
      </c>
      <c r="R13" s="222">
        <f t="shared" si="6"/>
        <v>40</v>
      </c>
      <c r="S13" s="220"/>
      <c r="T13" s="220"/>
      <c r="U13" s="222" t="str">
        <f>'17.Facility 6 Horti Processing '!A168</f>
        <v>packaging Exp</v>
      </c>
      <c r="V13" s="9">
        <f>'17.Facility 6 Horti Processing '!C168*100</f>
        <v>200</v>
      </c>
    </row>
    <row r="14" spans="3:22">
      <c r="C14" s="76" t="s">
        <v>347</v>
      </c>
      <c r="D14" s="74"/>
      <c r="E14" s="74"/>
      <c r="F14" s="75"/>
      <c r="G14" s="75"/>
      <c r="H14" s="75"/>
      <c r="I14" s="75"/>
      <c r="J14" s="75"/>
      <c r="K14" s="75"/>
      <c r="L14" s="73"/>
      <c r="M14" s="73"/>
      <c r="N14" s="222"/>
      <c r="O14" s="9"/>
      <c r="P14" s="9"/>
      <c r="Q14" s="9"/>
      <c r="R14" s="9"/>
      <c r="S14" s="220"/>
      <c r="T14" s="220"/>
      <c r="U14" s="9"/>
      <c r="V14" s="9"/>
    </row>
    <row r="15" spans="3:22">
      <c r="C15" s="74" t="str">
        <f>C6</f>
        <v>Agri Input</v>
      </c>
      <c r="D15" s="249">
        <v>0.05</v>
      </c>
      <c r="E15" s="75">
        <f>SUM('16.Facility 5 Agri Input'!D198:D259)*$D$15</f>
        <v>2908770.7696953751</v>
      </c>
      <c r="F15" s="75">
        <f>SUM('16.Facility 5 Agri Input'!E198:E259)*$D$15</f>
        <v>3306551.3877733755</v>
      </c>
      <c r="G15" s="75">
        <f>SUM('16.Facility 5 Agri Input'!F198:F259)*$D$15</f>
        <v>3729193.2944812509</v>
      </c>
      <c r="H15" s="75">
        <f>SUM('16.Facility 5 Agri Input'!G198:G259)*$D$15</f>
        <v>3977806.1807799996</v>
      </c>
      <c r="I15" s="75">
        <f>SUM('16.Facility 5 Agri Input'!H198:H259)*$D$15</f>
        <v>4226419.0670787506</v>
      </c>
      <c r="J15" s="75">
        <f>SUM('16.Facility 5 Agri Input'!I198:I259)*$D$15</f>
        <v>4475031.9533775011</v>
      </c>
      <c r="K15" s="75">
        <f>SUM('16.Facility 5 Agri Input'!J198:J259)*$D$15</f>
        <v>4723644.8396762516</v>
      </c>
      <c r="L15" s="73"/>
      <c r="M15" s="73"/>
      <c r="N15" s="9"/>
      <c r="O15" s="9"/>
      <c r="P15" s="9"/>
      <c r="Q15" s="9"/>
      <c r="R15" s="9"/>
      <c r="U15" s="9"/>
      <c r="V15" s="9"/>
    </row>
    <row r="16" spans="3:22">
      <c r="C16" s="74" t="str">
        <f>C7</f>
        <v>Trading</v>
      </c>
      <c r="D16" s="249">
        <v>0.05</v>
      </c>
      <c r="E16" s="75">
        <f>SUM('12.Facility 1 - Trading'!D233:D284)*$D$16</f>
        <v>827176.11277500005</v>
      </c>
      <c r="F16" s="75">
        <f>SUM('12.Facility 1 - Trading'!E233:E284)*$D$16</f>
        <v>1018652.0648062499</v>
      </c>
      <c r="G16" s="75">
        <f>SUM('12.Facility 1 - Trading'!F233:F284)*$D$16</f>
        <v>1225446.0930000001</v>
      </c>
      <c r="H16" s="75">
        <f>SUM('12.Facility 1 - Trading'!G233:G284)*$D$16</f>
        <v>1378626.8546250002</v>
      </c>
      <c r="I16" s="75">
        <f>SUM('12.Facility 1 - Trading'!H233:H284)*$D$16</f>
        <v>1531807.61625</v>
      </c>
      <c r="J16" s="75">
        <f>SUM('12.Facility 1 - Trading'!I233:I284)*$D$16</f>
        <v>1684988.377875</v>
      </c>
      <c r="K16" s="75">
        <f>SUM('12.Facility 1 - Trading'!J233:J284)*$D$16</f>
        <v>1838169.1395</v>
      </c>
      <c r="L16" s="73"/>
      <c r="M16" s="73"/>
      <c r="N16" s="221" t="s">
        <v>373</v>
      </c>
      <c r="O16" s="225">
        <f>SUM(O8:O13)</f>
        <v>6908.9825000000001</v>
      </c>
      <c r="P16" s="225">
        <f>SUM(P8:P13)</f>
        <v>7608.9825000000001</v>
      </c>
      <c r="Q16" s="225">
        <f>SUM(Q8:Q13)</f>
        <v>6908.9825000000001</v>
      </c>
      <c r="R16" s="225">
        <f>SUM(R8:R13)</f>
        <v>8108.9825000000001</v>
      </c>
      <c r="U16" s="221" t="s">
        <v>1</v>
      </c>
      <c r="V16" s="225">
        <f>SUM(V8:V15)</f>
        <v>8516.86</v>
      </c>
    </row>
    <row r="17" spans="1:18">
      <c r="C17" s="74" t="str">
        <f>C8</f>
        <v xml:space="preserve">Grain Processing </v>
      </c>
      <c r="D17" s="249">
        <v>0.05</v>
      </c>
      <c r="E17" s="75">
        <f>SUM('13.Facility 2 Grain Processing'!D152:D160)*$D$17</f>
        <v>339391.05489000003</v>
      </c>
      <c r="F17" s="75">
        <f>SUM('13.Facility 2 Grain Processing'!E152:E160)*$D$17</f>
        <v>537369.17024250003</v>
      </c>
      <c r="G17" s="75">
        <f>SUM('13.Facility 2 Grain Processing'!F152:F160)*$D$17</f>
        <v>754202.34420000017</v>
      </c>
      <c r="H17" s="75">
        <f>SUM('13.Facility 2 Grain Processing'!G152:G160)*$D$17</f>
        <v>942752.93025000009</v>
      </c>
      <c r="I17" s="75">
        <f>SUM('13.Facility 2 Grain Processing'!H152:H160)*$D$17</f>
        <v>1131303.5163</v>
      </c>
      <c r="J17" s="75">
        <f>SUM('13.Facility 2 Grain Processing'!I152:I160)*$D$17</f>
        <v>1319854.1023500003</v>
      </c>
      <c r="K17" s="75">
        <f>SUM('13.Facility 2 Grain Processing'!J152:J160)*$D$17</f>
        <v>1508404.6884000001</v>
      </c>
      <c r="L17" s="73"/>
      <c r="M17" s="73"/>
    </row>
    <row r="18" spans="1:18">
      <c r="C18" s="74" t="s">
        <v>521</v>
      </c>
      <c r="D18" s="249">
        <v>0.05</v>
      </c>
      <c r="E18" s="75">
        <f>SUM('17.Facility 6 Horti Processing '!D163:D173)*$D$18</f>
        <v>0</v>
      </c>
      <c r="F18" s="75">
        <f>SUM('17.Facility 6 Horti Processing '!E163:E173)*$D$18</f>
        <v>0</v>
      </c>
      <c r="G18" s="75">
        <f>SUM('17.Facility 6 Horti Processing '!F163:F173)*$D$18</f>
        <v>0</v>
      </c>
      <c r="H18" s="75">
        <f>SUM('17.Facility 6 Horti Processing '!G163:G173)*$D$18</f>
        <v>0</v>
      </c>
      <c r="I18" s="75">
        <f>SUM('17.Facility 6 Horti Processing '!H163:H173)*$D$18</f>
        <v>0</v>
      </c>
      <c r="J18" s="75">
        <f>SUM('17.Facility 6 Horti Processing '!I163:I173)*$D$18</f>
        <v>0</v>
      </c>
      <c r="K18" s="75">
        <f>SUM('17.Facility 6 Horti Processing '!J163:J173)*$D$18</f>
        <v>0</v>
      </c>
      <c r="L18" s="73"/>
      <c r="M18" s="73"/>
    </row>
    <row r="19" spans="1:18">
      <c r="C19" s="74"/>
      <c r="D19" s="218"/>
      <c r="E19" s="75"/>
      <c r="F19" s="75"/>
      <c r="G19" s="75"/>
      <c r="H19" s="75"/>
      <c r="I19" s="75"/>
      <c r="J19" s="75"/>
      <c r="K19" s="75"/>
      <c r="L19" s="73"/>
      <c r="M19" s="73"/>
    </row>
    <row r="20" spans="1:18">
      <c r="C20" s="74"/>
      <c r="D20" s="74"/>
      <c r="E20" s="74"/>
      <c r="F20" s="75"/>
      <c r="G20" s="75"/>
      <c r="H20" s="75"/>
      <c r="I20" s="75"/>
      <c r="J20" s="75"/>
      <c r="K20" s="75"/>
      <c r="L20" s="73"/>
      <c r="M20" s="73"/>
    </row>
    <row r="21" spans="1:18">
      <c r="C21" s="74" t="s">
        <v>1</v>
      </c>
      <c r="D21" s="74"/>
      <c r="E21" s="171">
        <f t="shared" ref="E21:K21" si="7">SUM(E15:E20)</f>
        <v>4075337.9373603752</v>
      </c>
      <c r="F21" s="171">
        <f t="shared" si="7"/>
        <v>4862572.6228221245</v>
      </c>
      <c r="G21" s="171">
        <f t="shared" si="7"/>
        <v>5708841.731681251</v>
      </c>
      <c r="H21" s="171">
        <f t="shared" si="7"/>
        <v>6299185.9656549999</v>
      </c>
      <c r="I21" s="171">
        <f t="shared" si="7"/>
        <v>6889530.1996287508</v>
      </c>
      <c r="J21" s="171">
        <f t="shared" si="7"/>
        <v>7479874.4336025016</v>
      </c>
      <c r="K21" s="171">
        <f t="shared" si="7"/>
        <v>8070218.6675762516</v>
      </c>
      <c r="L21" s="73"/>
      <c r="M21" s="73"/>
    </row>
    <row r="22" spans="1:18">
      <c r="C22" s="73"/>
      <c r="D22" s="73"/>
      <c r="E22" s="335"/>
      <c r="F22" s="268"/>
      <c r="G22" s="268"/>
      <c r="H22" s="268"/>
      <c r="I22" s="268"/>
      <c r="J22" s="268"/>
      <c r="K22" s="268"/>
      <c r="L22" s="73"/>
      <c r="M22" s="73"/>
    </row>
    <row r="23" spans="1:18">
      <c r="C23" s="73"/>
      <c r="D23" s="73"/>
      <c r="E23" s="73"/>
      <c r="F23" s="335"/>
      <c r="G23" s="335"/>
      <c r="H23" s="335"/>
      <c r="I23" s="335"/>
      <c r="J23" s="335"/>
      <c r="K23" s="335"/>
      <c r="L23" s="73"/>
      <c r="M23" s="73"/>
    </row>
    <row r="24" spans="1:18" ht="41.1" customHeight="1">
      <c r="A24" s="398" t="s">
        <v>417</v>
      </c>
      <c r="B24" s="398"/>
      <c r="C24" s="398"/>
      <c r="D24" s="398"/>
      <c r="E24" s="398"/>
      <c r="F24" s="398"/>
      <c r="G24" s="398"/>
      <c r="H24" s="398"/>
      <c r="I24" s="398"/>
      <c r="J24" s="398"/>
      <c r="K24" s="398"/>
      <c r="L24" s="292"/>
      <c r="M24" s="292"/>
      <c r="N24" s="292"/>
      <c r="O24" s="257"/>
      <c r="P24" s="257"/>
      <c r="Q24" s="257"/>
      <c r="R24" s="257"/>
    </row>
    <row r="25" spans="1:18">
      <c r="A25" t="s">
        <v>537</v>
      </c>
    </row>
    <row r="26" spans="1:18">
      <c r="A26">
        <v>1</v>
      </c>
      <c r="B26" t="s">
        <v>540</v>
      </c>
    </row>
    <row r="29" spans="1:18" ht="18.75">
      <c r="B29" s="368" t="s">
        <v>562</v>
      </c>
      <c r="C29" s="368"/>
      <c r="D29" s="368"/>
      <c r="E29" s="368"/>
      <c r="F29" s="368"/>
      <c r="G29" s="368"/>
      <c r="H29" s="368"/>
      <c r="I29" s="368"/>
      <c r="J29" s="368"/>
      <c r="K29" s="368"/>
    </row>
    <row r="31" spans="1:18">
      <c r="B31" s="389" t="s">
        <v>145</v>
      </c>
      <c r="C31" s="389" t="s">
        <v>0</v>
      </c>
      <c r="D31" s="392" t="s">
        <v>369</v>
      </c>
      <c r="E31" s="394" t="s">
        <v>157</v>
      </c>
      <c r="F31" s="395"/>
      <c r="G31" s="395"/>
      <c r="H31" s="395"/>
      <c r="I31" s="395"/>
      <c r="J31" s="395"/>
      <c r="K31" s="395"/>
    </row>
    <row r="32" spans="1:18">
      <c r="B32" s="389"/>
      <c r="C32" s="389"/>
      <c r="D32" s="393"/>
      <c r="E32" s="181" t="s">
        <v>2</v>
      </c>
      <c r="F32" s="181" t="s">
        <v>3</v>
      </c>
      <c r="G32" s="181" t="s">
        <v>4</v>
      </c>
      <c r="H32" s="181" t="s">
        <v>5</v>
      </c>
      <c r="I32" s="181" t="s">
        <v>6</v>
      </c>
      <c r="J32" s="181" t="s">
        <v>168</v>
      </c>
      <c r="K32" s="181" t="s">
        <v>167</v>
      </c>
    </row>
    <row r="33" spans="2:11">
      <c r="B33" s="184"/>
      <c r="C33" s="185"/>
      <c r="D33" s="185"/>
      <c r="E33" s="186"/>
      <c r="F33" s="186"/>
      <c r="G33" s="186"/>
      <c r="H33" s="186"/>
      <c r="I33" s="186"/>
      <c r="J33" s="186"/>
      <c r="K33" s="186"/>
    </row>
    <row r="34" spans="2:11" ht="28.5">
      <c r="B34" s="187" t="s">
        <v>172</v>
      </c>
      <c r="C34" s="188" t="s">
        <v>348</v>
      </c>
      <c r="D34" s="205"/>
      <c r="E34" s="189"/>
      <c r="F34" s="189"/>
      <c r="G34" s="189"/>
      <c r="H34" s="189"/>
      <c r="I34" s="189"/>
      <c r="J34" s="189"/>
      <c r="K34" s="189"/>
    </row>
    <row r="35" spans="2:11">
      <c r="B35" s="245">
        <v>1</v>
      </c>
      <c r="C35" s="190" t="s">
        <v>371</v>
      </c>
      <c r="D35" s="205">
        <v>14</v>
      </c>
      <c r="E35" s="189">
        <f>('16.Facility 5 Agri Input'!D191/365)*$D$35</f>
        <v>2249850.7605359592</v>
      </c>
      <c r="F35" s="189">
        <f>('16.Facility 5 Agri Input'!E191/365)*$D$35</f>
        <v>2682514.3683313346</v>
      </c>
      <c r="G35" s="189">
        <f>('16.Facility 5 Agri Input'!F191/365)*$D$35</f>
        <v>3026115.0580308223</v>
      </c>
      <c r="H35" s="189">
        <f>('16.Facility 5 Agri Input'!G191/365)*$D$35</f>
        <v>3228530.7809760282</v>
      </c>
      <c r="I35" s="189">
        <f>('16.Facility 5 Agri Input'!H191/365)*$D$35</f>
        <v>3430946.5039212331</v>
      </c>
      <c r="J35" s="189">
        <f>('16.Facility 5 Agri Input'!I191/365)*$D$35</f>
        <v>3633362.2268664385</v>
      </c>
      <c r="K35" s="189">
        <f>('16.Facility 5 Agri Input'!J191/365)*$D$35</f>
        <v>3835777.9498116449</v>
      </c>
    </row>
    <row r="36" spans="2:11">
      <c r="B36" s="245">
        <v>2</v>
      </c>
      <c r="C36" s="190" t="s">
        <v>365</v>
      </c>
      <c r="D36" s="205">
        <v>14</v>
      </c>
      <c r="E36" s="189">
        <f>('15. Facility 4 Custom Hiring'!E31/365)*$D$36</f>
        <v>24854.794520547945</v>
      </c>
      <c r="F36" s="189">
        <f>('15. Facility 4 Custom Hiring'!F31/365)*$D$36</f>
        <v>26235.616438356163</v>
      </c>
      <c r="G36" s="189">
        <f>('15. Facility 4 Custom Hiring'!G31/365)*$D$36</f>
        <v>27616.438356164384</v>
      </c>
      <c r="H36" s="189">
        <f>('15. Facility 4 Custom Hiring'!H31/365)*$D$36</f>
        <v>27616.438356164384</v>
      </c>
      <c r="I36" s="189">
        <f>('15. Facility 4 Custom Hiring'!I31/365)*$D$36</f>
        <v>27616.438356164384</v>
      </c>
      <c r="J36" s="189">
        <f>('15. Facility 4 Custom Hiring'!J31/365)*$D$36</f>
        <v>27616.438356164384</v>
      </c>
      <c r="K36" s="189">
        <f>('15. Facility 4 Custom Hiring'!K31/365)*$D$36</f>
        <v>27616.438356164384</v>
      </c>
    </row>
    <row r="37" spans="2:11">
      <c r="B37" s="245">
        <v>3</v>
      </c>
      <c r="C37" s="190" t="s">
        <v>366</v>
      </c>
      <c r="D37" s="205">
        <v>14</v>
      </c>
      <c r="E37" s="189">
        <f>('12.Facility 1 - Trading'!D229/365)*$D$37</f>
        <v>644953.14106071787</v>
      </c>
      <c r="F37" s="189">
        <f>('12.Facility 1 - Trading'!E229/365)*$D$37</f>
        <v>829478.50162618747</v>
      </c>
      <c r="G37" s="189">
        <f>('12.Facility 1 - Trading'!F229/365)*$D$37</f>
        <v>1001946.7540118628</v>
      </c>
      <c r="H37" s="189">
        <f>('12.Facility 1 - Trading'!G229/365)*$D$37</f>
        <v>1129044.2463374794</v>
      </c>
      <c r="I37" s="189">
        <f>('12.Facility 1 - Trading'!H229/365)*$D$37</f>
        <v>1255583.1324321369</v>
      </c>
      <c r="J37" s="189">
        <f>('12.Facility 1 - Trading'!I229/365)*$D$37</f>
        <v>1382202.3935240544</v>
      </c>
      <c r="K37" s="189">
        <f>('12.Facility 1 - Trading'!J229/365)*$D$37</f>
        <v>1508902.0296132329</v>
      </c>
    </row>
    <row r="38" spans="2:11">
      <c r="B38" s="245">
        <v>4</v>
      </c>
      <c r="C38" s="190" t="s">
        <v>140</v>
      </c>
      <c r="D38" s="205">
        <v>14</v>
      </c>
      <c r="E38" s="189">
        <f>('13.Facility 2 Grain Processing'!D148/365)*$D$38</f>
        <v>322039.8586957808</v>
      </c>
      <c r="F38" s="189">
        <f>('13.Facility 2 Grain Processing'!E148/365)*$D$38</f>
        <v>525446.56879668497</v>
      </c>
      <c r="G38" s="189">
        <f>('13.Facility 2 Grain Processing'!F148/365)*$D$38</f>
        <v>740196.96074301389</v>
      </c>
      <c r="H38" s="189">
        <f>('13.Facility 2 Grain Processing'!G148/365)*$D$38</f>
        <v>927292.27012109593</v>
      </c>
      <c r="I38" s="189">
        <f>('13.Facility 2 Grain Processing'!H148/365)*$D$38</f>
        <v>1114387.5794991781</v>
      </c>
      <c r="J38" s="189">
        <f>('13.Facility 2 Grain Processing'!I148/365)*$D$38</f>
        <v>1301482.8888772603</v>
      </c>
      <c r="K38" s="189">
        <f>('13.Facility 2 Grain Processing'!J148/365)*$D$38</f>
        <v>1488578.1982553424</v>
      </c>
    </row>
    <row r="39" spans="2:11">
      <c r="B39" s="245">
        <v>5</v>
      </c>
      <c r="C39" s="190" t="s">
        <v>296</v>
      </c>
      <c r="D39" s="205">
        <v>14</v>
      </c>
      <c r="E39" s="189">
        <f>('14. Facility 3 Warehouse'!D23/365)*$D$39</f>
        <v>33139.726027397264</v>
      </c>
      <c r="F39" s="189">
        <f>('14. Facility 3 Warehouse'!E23/365)*$D$39</f>
        <v>37167.123287671246</v>
      </c>
      <c r="G39" s="189">
        <f>('14. Facility 3 Warehouse'!F23/365)*$D$39</f>
        <v>41424.65753424658</v>
      </c>
      <c r="H39" s="189">
        <f>('14. Facility 3 Warehouse'!G23/365)*$D$39</f>
        <v>43726.027397260288</v>
      </c>
      <c r="I39" s="189">
        <f>('14. Facility 3 Warehouse'!H23/365)*$D$39</f>
        <v>46027.397260273989</v>
      </c>
      <c r="J39" s="189">
        <f>('14. Facility 3 Warehouse'!I23/365)*$D$39</f>
        <v>46027.397260273989</v>
      </c>
      <c r="K39" s="189">
        <f>('14. Facility 3 Warehouse'!J23/365)*$D$39</f>
        <v>46027.397260273989</v>
      </c>
    </row>
    <row r="40" spans="2:11" ht="30">
      <c r="B40" s="245">
        <v>6</v>
      </c>
      <c r="C40" s="190" t="s">
        <v>533</v>
      </c>
      <c r="D40" s="205">
        <v>14</v>
      </c>
      <c r="E40" s="189">
        <f>('17.Facility 6 Horti Processing '!D159/365)*$D$40</f>
        <v>0</v>
      </c>
      <c r="F40" s="189">
        <f>('17.Facility 6 Horti Processing '!E159/365)*$D$40</f>
        <v>0</v>
      </c>
      <c r="G40" s="189">
        <f>('17.Facility 6 Horti Processing '!F159/365)*$D$40</f>
        <v>0</v>
      </c>
      <c r="H40" s="189">
        <f>('17.Facility 6 Horti Processing '!G159/365)*$D$40</f>
        <v>0</v>
      </c>
      <c r="I40" s="189">
        <f>('17.Facility 6 Horti Processing '!H159/365)*$D$40</f>
        <v>0</v>
      </c>
      <c r="J40" s="189">
        <f>('17.Facility 6 Horti Processing '!I159/365)*$D$40</f>
        <v>0</v>
      </c>
      <c r="K40" s="189">
        <f>('17.Facility 6 Horti Processing '!J159/365)*$D$40</f>
        <v>0</v>
      </c>
    </row>
    <row r="41" spans="2:11">
      <c r="B41" s="245"/>
      <c r="C41" s="190"/>
      <c r="D41" s="205"/>
      <c r="E41" s="189"/>
      <c r="F41" s="189"/>
      <c r="G41" s="189"/>
      <c r="H41" s="189"/>
      <c r="I41" s="189"/>
      <c r="J41" s="189"/>
      <c r="K41" s="189"/>
    </row>
    <row r="42" spans="2:11">
      <c r="B42" s="187"/>
      <c r="C42" s="188" t="s">
        <v>170</v>
      </c>
      <c r="D42" s="205"/>
      <c r="E42" s="189">
        <f>SUM(E35:E41)</f>
        <v>3274838.2808404034</v>
      </c>
      <c r="F42" s="189">
        <f t="shared" ref="F42:K42" si="8">SUM(F35:F41)</f>
        <v>4100842.1784802345</v>
      </c>
      <c r="G42" s="189">
        <f t="shared" si="8"/>
        <v>4837299.8686761102</v>
      </c>
      <c r="H42" s="189">
        <f t="shared" si="8"/>
        <v>5356209.7631880278</v>
      </c>
      <c r="I42" s="189">
        <f t="shared" si="8"/>
        <v>5874561.0514689861</v>
      </c>
      <c r="J42" s="189">
        <f t="shared" si="8"/>
        <v>6390691.3448841916</v>
      </c>
      <c r="K42" s="189">
        <f t="shared" si="8"/>
        <v>6906902.0132966582</v>
      </c>
    </row>
    <row r="43" spans="2:11">
      <c r="B43" s="187" t="s">
        <v>173</v>
      </c>
      <c r="C43" s="188" t="s">
        <v>347</v>
      </c>
      <c r="D43" s="205"/>
      <c r="E43" s="189">
        <f>'5.Closing Stock &amp; W Capital'!E21</f>
        <v>4075337.9373603752</v>
      </c>
      <c r="F43" s="189">
        <f>'5.Closing Stock &amp; W Capital'!F21</f>
        <v>4862572.6228221245</v>
      </c>
      <c r="G43" s="189">
        <f>'5.Closing Stock &amp; W Capital'!G21</f>
        <v>5708841.731681251</v>
      </c>
      <c r="H43" s="189">
        <f>'5.Closing Stock &amp; W Capital'!H21</f>
        <v>6299185.9656549999</v>
      </c>
      <c r="I43" s="189">
        <f>'5.Closing Stock &amp; W Capital'!I21</f>
        <v>6889530.1996287508</v>
      </c>
      <c r="J43" s="189">
        <f>'5.Closing Stock &amp; W Capital'!J21</f>
        <v>7479874.4336025016</v>
      </c>
      <c r="K43" s="189">
        <f>'5.Closing Stock &amp; W Capital'!K21</f>
        <v>8070218.6675762516</v>
      </c>
    </row>
    <row r="44" spans="2:11">
      <c r="B44" s="187"/>
      <c r="C44" s="190"/>
      <c r="D44" s="205"/>
      <c r="E44" s="189"/>
      <c r="F44" s="189"/>
      <c r="G44" s="189"/>
      <c r="H44" s="189"/>
      <c r="I44" s="189"/>
      <c r="J44" s="189"/>
      <c r="K44" s="189"/>
    </row>
    <row r="45" spans="2:11">
      <c r="B45" s="390" t="s">
        <v>1</v>
      </c>
      <c r="C45" s="391"/>
      <c r="D45" s="217"/>
      <c r="E45" s="191">
        <f>SUM(E42:E43)</f>
        <v>7350176.2182007786</v>
      </c>
      <c r="F45" s="191">
        <f t="shared" ref="F45:K45" si="9">SUM(F42:F43)</f>
        <v>8963414.8013023585</v>
      </c>
      <c r="G45" s="191">
        <f t="shared" si="9"/>
        <v>10546141.600357361</v>
      </c>
      <c r="H45" s="191">
        <f t="shared" si="9"/>
        <v>11655395.728843028</v>
      </c>
      <c r="I45" s="191">
        <f t="shared" si="9"/>
        <v>12764091.251097737</v>
      </c>
      <c r="J45" s="191">
        <f t="shared" si="9"/>
        <v>13870565.778486693</v>
      </c>
      <c r="K45" s="191">
        <f t="shared" si="9"/>
        <v>14977120.68087291</v>
      </c>
    </row>
    <row r="46" spans="2:11">
      <c r="B46" s="187"/>
      <c r="C46" s="188"/>
      <c r="D46" s="205"/>
      <c r="E46" s="189"/>
      <c r="F46" s="189"/>
      <c r="G46" s="189"/>
      <c r="H46" s="189"/>
      <c r="I46" s="189"/>
      <c r="J46" s="189"/>
      <c r="K46" s="189"/>
    </row>
    <row r="47" spans="2:11" ht="34.5" customHeight="1">
      <c r="B47" s="187" t="s">
        <v>174</v>
      </c>
      <c r="C47" s="190" t="s">
        <v>349</v>
      </c>
      <c r="D47" s="205"/>
      <c r="E47" s="189"/>
      <c r="F47" s="189"/>
      <c r="G47" s="189"/>
      <c r="H47" s="189"/>
      <c r="I47" s="189"/>
      <c r="J47" s="189"/>
      <c r="K47" s="189"/>
    </row>
    <row r="48" spans="2:11">
      <c r="B48" s="245">
        <v>1</v>
      </c>
      <c r="C48" s="190" t="str">
        <f t="shared" ref="C48:C53" si="10">C35</f>
        <v>Agri Input</v>
      </c>
      <c r="D48" s="205">
        <v>7</v>
      </c>
      <c r="E48" s="189">
        <f>(SUM('16.Facility 5 Agri Input'!D198:D259)/365)*$D$48</f>
        <v>1115692.8979653493</v>
      </c>
      <c r="F48" s="189">
        <f>(SUM('16.Facility 5 Agri Input'!E198:E259)/365)*$D$48</f>
        <v>1268266.2857212946</v>
      </c>
      <c r="G48" s="189">
        <f>(SUM('16.Facility 5 Agri Input'!F198:F259)/365)*$D$48</f>
        <v>1430375.5102119865</v>
      </c>
      <c r="H48" s="189">
        <f>(SUM('16.Facility 5 Agri Input'!G198:G259)/365)*$D$48</f>
        <v>1525733.8775594519</v>
      </c>
      <c r="I48" s="189">
        <f>(SUM('16.Facility 5 Agri Input'!H198:H259)/365)*$D$48</f>
        <v>1621092.2449069179</v>
      </c>
      <c r="J48" s="189">
        <f>(SUM('16.Facility 5 Agri Input'!I198:I259)/365)*$D$48</f>
        <v>1716450.612254384</v>
      </c>
      <c r="K48" s="189">
        <f>(SUM('16.Facility 5 Agri Input'!J198:J259)/365)*$D$48</f>
        <v>1811808.9796018498</v>
      </c>
    </row>
    <row r="49" spans="1:12">
      <c r="B49" s="245">
        <v>2</v>
      </c>
      <c r="C49" s="190" t="str">
        <f t="shared" si="10"/>
        <v>Custom Hiring</v>
      </c>
      <c r="D49" s="205">
        <v>7</v>
      </c>
      <c r="E49" s="189">
        <f>('15. Facility 4 Custom Hiring'!E41/365)*$D$50</f>
        <v>3452.0547945205481</v>
      </c>
      <c r="F49" s="189">
        <f>('15. Facility 4 Custom Hiring'!F41/365)*$D$50</f>
        <v>3643.8356164383558</v>
      </c>
      <c r="G49" s="189">
        <f>('15. Facility 4 Custom Hiring'!G41/365)*$D$50</f>
        <v>3835.6164383561645</v>
      </c>
      <c r="H49" s="189">
        <f>('15. Facility 4 Custom Hiring'!H41/365)*$D$50</f>
        <v>3835.6164383561645</v>
      </c>
      <c r="I49" s="189">
        <f>('15. Facility 4 Custom Hiring'!I41/365)*$D$50</f>
        <v>3835.6164383561645</v>
      </c>
      <c r="J49" s="189">
        <f>('15. Facility 4 Custom Hiring'!J41/365)*$D$50</f>
        <v>3835.6164383561645</v>
      </c>
      <c r="K49" s="189">
        <f>('15. Facility 4 Custom Hiring'!K41/365)*$D$50</f>
        <v>3835.6164383561645</v>
      </c>
    </row>
    <row r="50" spans="1:12">
      <c r="B50" s="245">
        <v>3</v>
      </c>
      <c r="C50" s="190" t="str">
        <f t="shared" si="10"/>
        <v>Cleaning &amp; Grading</v>
      </c>
      <c r="D50" s="205">
        <v>7</v>
      </c>
      <c r="E50" s="189">
        <f>(SUM('12.Facility 1 - Trading'!D233:D284)/365)*$D$50</f>
        <v>317273.02955753426</v>
      </c>
      <c r="F50" s="189">
        <f>(SUM('12.Facility 1 - Trading'!E233:E284)/365)*$D$50</f>
        <v>390715.86047363013</v>
      </c>
      <c r="G50" s="189">
        <f>(SUM('12.Facility 1 - Trading'!F233:F284)/365)*$D$50</f>
        <v>470034.11786301364</v>
      </c>
      <c r="H50" s="189">
        <f>(SUM('12.Facility 1 - Trading'!G233:G284)/365)*$D$50</f>
        <v>528788.38259589043</v>
      </c>
      <c r="I50" s="189">
        <f>(SUM('12.Facility 1 - Trading'!H233:H284)/365)*$D$50</f>
        <v>587542.64732876711</v>
      </c>
      <c r="J50" s="189">
        <f>(SUM('12.Facility 1 - Trading'!I233:I284)/365)*$D$50</f>
        <v>646296.91206164379</v>
      </c>
      <c r="K50" s="189">
        <f>(SUM('12.Facility 1 - Trading'!J233:J284)/365)*$D$50</f>
        <v>705051.17679452046</v>
      </c>
    </row>
    <row r="51" spans="1:12">
      <c r="B51" s="245">
        <v>4</v>
      </c>
      <c r="C51" s="190" t="str">
        <f t="shared" si="10"/>
        <v>Dal Mill</v>
      </c>
      <c r="D51" s="205">
        <v>7</v>
      </c>
      <c r="E51" s="189">
        <f>(SUM('13.Facility 2 Grain Processing'!D152:D160)/365)*$D$51</f>
        <v>130177.39091671235</v>
      </c>
      <c r="F51" s="189">
        <f>(SUM('13.Facility 2 Grain Processing'!E152:E160)/365)*$D$51</f>
        <v>206114.20228479453</v>
      </c>
      <c r="G51" s="189">
        <f>(SUM('13.Facility 2 Grain Processing'!F152:F160)/365)*$D$51</f>
        <v>289283.09092602745</v>
      </c>
      <c r="H51" s="189">
        <f>(SUM('13.Facility 2 Grain Processing'!G152:G160)/365)*$D$51</f>
        <v>361603.86365753424</v>
      </c>
      <c r="I51" s="189">
        <f>(SUM('13.Facility 2 Grain Processing'!H152:H160)/365)*$D$51</f>
        <v>433924.63638904103</v>
      </c>
      <c r="J51" s="189">
        <f>(SUM('13.Facility 2 Grain Processing'!I152:I160)/365)*$D$51</f>
        <v>506245.40912054805</v>
      </c>
      <c r="K51" s="189">
        <f>(SUM('13.Facility 2 Grain Processing'!J152:J160)/365)*$D$51</f>
        <v>578566.18185205478</v>
      </c>
    </row>
    <row r="52" spans="1:12">
      <c r="B52" s="245">
        <v>5</v>
      </c>
      <c r="C52" s="190" t="str">
        <f t="shared" si="10"/>
        <v>Warehouse</v>
      </c>
      <c r="D52" s="205">
        <v>7</v>
      </c>
      <c r="E52" s="189">
        <f>('14. Facility 3 Warehouse'!D33/365)*$D$52</f>
        <v>5523.2876712328762</v>
      </c>
      <c r="F52" s="189">
        <f>('14. Facility 3 Warehouse'!E33/365)*$D$52</f>
        <v>5830.1369863013697</v>
      </c>
      <c r="G52" s="189">
        <f>('14. Facility 3 Warehouse'!F33/365)*$D$52</f>
        <v>6136.9863013698632</v>
      </c>
      <c r="H52" s="189">
        <f>('14. Facility 3 Warehouse'!G33/365)*$D$52</f>
        <v>6136.9863013698632</v>
      </c>
      <c r="I52" s="189">
        <f>('14. Facility 3 Warehouse'!H33/365)*$D$52</f>
        <v>6136.9863013698632</v>
      </c>
      <c r="J52" s="189">
        <f>('14. Facility 3 Warehouse'!I33/365)*$D$52</f>
        <v>6136.9863013698632</v>
      </c>
      <c r="K52" s="189">
        <f>('14. Facility 3 Warehouse'!J33/365)*$D$52</f>
        <v>6136.9863013698632</v>
      </c>
    </row>
    <row r="53" spans="1:12" ht="30">
      <c r="B53" s="245">
        <v>6</v>
      </c>
      <c r="C53" s="190" t="str">
        <f t="shared" si="10"/>
        <v>Processing Unit - Horti Commodity</v>
      </c>
      <c r="D53" s="205">
        <v>7</v>
      </c>
      <c r="E53" s="189">
        <f>(SUM('17.Facility 6 Horti Processing '!D163:D173)/365)*$D$53</f>
        <v>0</v>
      </c>
      <c r="F53" s="189">
        <f>(SUM('17.Facility 6 Horti Processing '!E163:E173)/365)*$D$53</f>
        <v>0</v>
      </c>
      <c r="G53" s="189">
        <f>(SUM('17.Facility 6 Horti Processing '!F163:F173)/365)*$D$53</f>
        <v>0</v>
      </c>
      <c r="H53" s="189">
        <f>(SUM('17.Facility 6 Horti Processing '!G163:G173)/365)*$D$53</f>
        <v>0</v>
      </c>
      <c r="I53" s="189">
        <f>(SUM('17.Facility 6 Horti Processing '!H163:H173)/365)*$D$53</f>
        <v>0</v>
      </c>
      <c r="J53" s="189">
        <f>(SUM('17.Facility 6 Horti Processing '!I163:I173)/365)*$D$53</f>
        <v>0</v>
      </c>
      <c r="K53" s="189">
        <f>(SUM('17.Facility 6 Horti Processing '!J163:J173)/365)*$D$53</f>
        <v>0</v>
      </c>
    </row>
    <row r="54" spans="1:12">
      <c r="B54" s="245"/>
      <c r="C54" s="190"/>
      <c r="D54" s="205"/>
      <c r="E54" s="189"/>
      <c r="F54" s="189"/>
      <c r="G54" s="189"/>
      <c r="H54" s="189"/>
      <c r="I54" s="189"/>
      <c r="J54" s="189"/>
      <c r="K54" s="189"/>
    </row>
    <row r="55" spans="1:12">
      <c r="B55" s="182"/>
      <c r="C55" s="188" t="s">
        <v>1</v>
      </c>
      <c r="D55" s="205"/>
      <c r="E55" s="191">
        <f>SUM(E48:E54)</f>
        <v>1572118.6609053493</v>
      </c>
      <c r="F55" s="191">
        <f t="shared" ref="F55:K55" si="11">SUM(F48:F54)</f>
        <v>1874570.3210824591</v>
      </c>
      <c r="G55" s="191">
        <f t="shared" si="11"/>
        <v>2199665.3217407539</v>
      </c>
      <c r="H55" s="191">
        <f t="shared" si="11"/>
        <v>2426098.7265526028</v>
      </c>
      <c r="I55" s="191">
        <f t="shared" si="11"/>
        <v>2652532.1313644522</v>
      </c>
      <c r="J55" s="191">
        <f t="shared" si="11"/>
        <v>2878965.536176302</v>
      </c>
      <c r="K55" s="191">
        <f t="shared" si="11"/>
        <v>3105398.9409881514</v>
      </c>
    </row>
    <row r="56" spans="1:12">
      <c r="B56" s="187" t="s">
        <v>175</v>
      </c>
      <c r="C56" s="188" t="s">
        <v>156</v>
      </c>
      <c r="D56" s="205"/>
      <c r="E56" s="191">
        <f>E45-E55</f>
        <v>5778057.5572954295</v>
      </c>
      <c r="F56" s="191">
        <f t="shared" ref="F56:K56" si="12">F45-F55</f>
        <v>7088844.4802198997</v>
      </c>
      <c r="G56" s="191">
        <f t="shared" si="12"/>
        <v>8346476.2786166072</v>
      </c>
      <c r="H56" s="191">
        <f t="shared" si="12"/>
        <v>9229297.002290424</v>
      </c>
      <c r="I56" s="191">
        <f t="shared" si="12"/>
        <v>10111559.119733285</v>
      </c>
      <c r="J56" s="191">
        <f t="shared" si="12"/>
        <v>10991600.242310392</v>
      </c>
      <c r="K56" s="191">
        <f t="shared" si="12"/>
        <v>11871721.739884758</v>
      </c>
    </row>
    <row r="57" spans="1:12">
      <c r="B57" s="187"/>
      <c r="C57" s="188" t="s">
        <v>134</v>
      </c>
      <c r="D57" s="253">
        <v>0.25</v>
      </c>
      <c r="E57" s="191">
        <f>E56*$D$57</f>
        <v>1444514.3893238574</v>
      </c>
      <c r="F57" s="191"/>
      <c r="G57" s="191"/>
      <c r="H57" s="191"/>
      <c r="I57" s="191"/>
      <c r="J57" s="191"/>
      <c r="K57" s="191"/>
    </row>
    <row r="59" spans="1:12">
      <c r="E59" s="22"/>
    </row>
    <row r="60" spans="1:12" ht="36.950000000000003" customHeight="1">
      <c r="A60" s="387" t="s">
        <v>413</v>
      </c>
      <c r="B60" s="388"/>
      <c r="C60" s="388"/>
      <c r="D60" s="388"/>
      <c r="E60" s="388"/>
      <c r="F60" s="388"/>
      <c r="G60" s="388"/>
      <c r="H60" s="388"/>
      <c r="I60" s="388"/>
      <c r="J60" s="388"/>
      <c r="K60" s="388"/>
      <c r="L60" s="388"/>
    </row>
    <row r="61" spans="1:12">
      <c r="A61" t="s">
        <v>541</v>
      </c>
    </row>
    <row r="62" spans="1:12">
      <c r="A62">
        <v>1</v>
      </c>
      <c r="B62" t="s">
        <v>542</v>
      </c>
    </row>
    <row r="63" spans="1:12">
      <c r="A63">
        <v>2</v>
      </c>
      <c r="B63" t="s">
        <v>543</v>
      </c>
    </row>
    <row r="64" spans="1:12">
      <c r="A64">
        <v>3</v>
      </c>
      <c r="B64" t="s">
        <v>544</v>
      </c>
    </row>
    <row r="67" spans="5:11">
      <c r="E67" s="22"/>
      <c r="F67" s="53"/>
      <c r="G67" s="53"/>
      <c r="H67" s="53"/>
      <c r="I67" s="53"/>
      <c r="J67" s="53"/>
      <c r="K67" s="53"/>
    </row>
    <row r="68" spans="5:11">
      <c r="E68" s="53"/>
      <c r="G68" s="53"/>
      <c r="H68" s="53"/>
      <c r="I68" s="53"/>
      <c r="J68" s="53"/>
      <c r="K68" s="53"/>
    </row>
    <row r="69" spans="5:11">
      <c r="E69" s="53"/>
      <c r="I69" s="53"/>
      <c r="J69" s="53"/>
      <c r="K69" s="53"/>
    </row>
    <row r="70" spans="5:11">
      <c r="E70" s="22"/>
    </row>
    <row r="71" spans="5:11">
      <c r="E71" s="22"/>
      <c r="F71" s="22"/>
      <c r="G71" s="22"/>
      <c r="H71" s="22"/>
    </row>
  </sheetData>
  <mergeCells count="13">
    <mergeCell ref="N6:R6"/>
    <mergeCell ref="U5:V5"/>
    <mergeCell ref="U6:V6"/>
    <mergeCell ref="C2:K2"/>
    <mergeCell ref="A24:K24"/>
    <mergeCell ref="N5:R5"/>
    <mergeCell ref="A60:L60"/>
    <mergeCell ref="B29:K29"/>
    <mergeCell ref="B31:B32"/>
    <mergeCell ref="C31:C32"/>
    <mergeCell ref="B45:C45"/>
    <mergeCell ref="D31:D32"/>
    <mergeCell ref="E31:K31"/>
  </mergeCells>
  <pageMargins left="0.7" right="0.7" top="0.75" bottom="0.75" header="0.3" footer="0.3"/>
  <pageSetup paperSize="9" scale="54" orientation="portrait" horizontalDpi="4294967292" r:id="rId1"/>
</worksheet>
</file>

<file path=xl/worksheets/sheet7.xml><?xml version="1.0" encoding="utf-8"?>
<worksheet xmlns="http://schemas.openxmlformats.org/spreadsheetml/2006/main" xmlns:r="http://schemas.openxmlformats.org/officeDocument/2006/relationships">
  <dimension ref="A2:P58"/>
  <sheetViews>
    <sheetView view="pageBreakPreview" topLeftCell="A19" zoomScale="80" zoomScaleSheetLayoutView="80" workbookViewId="0">
      <selection activeCell="B43" activeCellId="2" sqref="B36 B42 B43"/>
    </sheetView>
  </sheetViews>
  <sheetFormatPr defaultRowHeight="15"/>
  <cols>
    <col min="1" max="1" width="40.5703125" bestFit="1" customWidth="1"/>
    <col min="2" max="8" width="14.5703125" bestFit="1" customWidth="1"/>
    <col min="9" max="9" width="8.5703125" customWidth="1"/>
    <col min="10" max="12" width="11.7109375" bestFit="1" customWidth="1"/>
    <col min="13" max="16" width="12.85546875" bestFit="1" customWidth="1"/>
  </cols>
  <sheetData>
    <row r="2" spans="1:16" ht="18.75">
      <c r="A2" s="368" t="s">
        <v>563</v>
      </c>
      <c r="B2" s="368"/>
      <c r="C2" s="368"/>
      <c r="D2" s="368"/>
      <c r="E2" s="368"/>
      <c r="F2" s="368"/>
      <c r="G2" s="368"/>
      <c r="H2" s="368"/>
    </row>
    <row r="4" spans="1:16">
      <c r="B4" s="4"/>
      <c r="C4" s="4"/>
      <c r="D4" s="4"/>
      <c r="E4" s="4"/>
      <c r="F4" s="4"/>
    </row>
    <row r="5" spans="1:16">
      <c r="A5" s="125" t="s">
        <v>0</v>
      </c>
      <c r="B5" s="97" t="s">
        <v>2</v>
      </c>
      <c r="C5" s="97" t="s">
        <v>3</v>
      </c>
      <c r="D5" s="97" t="s">
        <v>4</v>
      </c>
      <c r="E5" s="97" t="s">
        <v>5</v>
      </c>
      <c r="F5" s="97" t="s">
        <v>6</v>
      </c>
      <c r="G5" s="97" t="s">
        <v>168</v>
      </c>
      <c r="H5" s="97" t="s">
        <v>167</v>
      </c>
    </row>
    <row r="6" spans="1:16">
      <c r="A6" s="76" t="s">
        <v>127</v>
      </c>
      <c r="B6" s="74"/>
      <c r="C6" s="74"/>
      <c r="D6" s="74"/>
      <c r="E6" s="74"/>
      <c r="F6" s="74"/>
      <c r="G6" s="74"/>
      <c r="H6" s="74"/>
    </row>
    <row r="7" spans="1:16">
      <c r="A7" s="74"/>
      <c r="B7" s="74"/>
      <c r="C7" s="74"/>
      <c r="D7" s="74"/>
      <c r="E7" s="74"/>
      <c r="F7" s="74"/>
      <c r="G7" s="74"/>
      <c r="H7" s="74"/>
    </row>
    <row r="8" spans="1:16">
      <c r="A8" s="74" t="s">
        <v>508</v>
      </c>
      <c r="B8" s="75">
        <f>'12.Facility 1 - Trading'!D229</f>
        <v>16814849.749083001</v>
      </c>
      <c r="C8" s="75">
        <f>'12.Facility 1 - Trading'!E229</f>
        <v>21625689.506682746</v>
      </c>
      <c r="D8" s="75">
        <f>'12.Facility 1 - Trading'!F229</f>
        <v>26122183.229594994</v>
      </c>
      <c r="E8" s="75">
        <f>'12.Facility 1 - Trading'!G229</f>
        <v>29435796.422369998</v>
      </c>
      <c r="F8" s="75">
        <f>'12.Facility 1 - Trading'!H229</f>
        <v>32734845.952694997</v>
      </c>
      <c r="G8" s="75">
        <f>'12.Facility 1 - Trading'!I229</f>
        <v>36035990.974019989</v>
      </c>
      <c r="H8" s="75">
        <f>'12.Facility 1 - Trading'!J229</f>
        <v>39339231.486345001</v>
      </c>
      <c r="J8" s="53">
        <f>+B8-B18</f>
        <v>1098503.606358001</v>
      </c>
      <c r="K8" s="53">
        <f t="shared" ref="K8:P8" si="0">+C8-C18</f>
        <v>1444124.162588995</v>
      </c>
      <c r="L8" s="53">
        <f t="shared" si="0"/>
        <v>1820055.3977887444</v>
      </c>
      <c r="M8" s="53">
        <f t="shared" si="0"/>
        <v>2016440.0914949998</v>
      </c>
      <c r="N8" s="53">
        <f t="shared" si="0"/>
        <v>2251874.3893199973</v>
      </c>
      <c r="O8" s="53">
        <f t="shared" si="0"/>
        <v>2489404.1781449914</v>
      </c>
      <c r="P8" s="53">
        <f t="shared" si="0"/>
        <v>2729029.4579700008</v>
      </c>
    </row>
    <row r="9" spans="1:16">
      <c r="A9" s="74" t="s">
        <v>509</v>
      </c>
      <c r="B9" s="75">
        <f>'13.Facility 2 Grain Processing'!D148</f>
        <v>8396039.1731400006</v>
      </c>
      <c r="C9" s="75">
        <f>'13.Facility 2 Grain Processing'!E148</f>
        <v>13699142.686485002</v>
      </c>
      <c r="D9" s="75">
        <f>'13.Facility 2 Grain Processing'!F148</f>
        <v>19297992.190800004</v>
      </c>
      <c r="E9" s="75">
        <f>'13.Facility 2 Grain Processing'!G148</f>
        <v>24175834.185300004</v>
      </c>
      <c r="F9" s="75">
        <f>'13.Facility 2 Grain Processing'!H148</f>
        <v>29053676.179800004</v>
      </c>
      <c r="G9" s="75">
        <f>'13.Facility 2 Grain Processing'!I148</f>
        <v>33931518.1743</v>
      </c>
      <c r="H9" s="75">
        <f>'13.Facility 2 Grain Processing'!J148</f>
        <v>38809360.168800004</v>
      </c>
      <c r="J9" s="53">
        <f t="shared" ref="J9:J12" si="1">+B9-B19</f>
        <v>1947609.1302300002</v>
      </c>
      <c r="K9" s="53">
        <f t="shared" ref="K9:K12" si="2">+C9-C19</f>
        <v>3149737.3969875015</v>
      </c>
      <c r="L9" s="53">
        <f t="shared" ref="L9:L12" si="3">+D9-D19</f>
        <v>4430778.4807575028</v>
      </c>
      <c r="M9" s="53">
        <f t="shared" ref="M9:M12" si="4">+E9-E19</f>
        <v>5509326.1663500033</v>
      </c>
      <c r="N9" s="53">
        <f t="shared" ref="N9:N12" si="5">+F9-F19</f>
        <v>6616156.4398500063</v>
      </c>
      <c r="O9" s="53">
        <f t="shared" ref="O9:O12" si="6">+G9-G19</f>
        <v>7722986.713349998</v>
      </c>
      <c r="P9" s="53">
        <f t="shared" ref="P9:P12" si="7">+H9-H19</f>
        <v>8829816.9868500046</v>
      </c>
    </row>
    <row r="10" spans="1:16">
      <c r="A10" s="74" t="s">
        <v>510</v>
      </c>
      <c r="B10" s="75">
        <f>'14. Facility 3 Warehouse'!D23</f>
        <v>864000</v>
      </c>
      <c r="C10" s="75">
        <f>'14. Facility 3 Warehouse'!E23</f>
        <v>969000.00000000023</v>
      </c>
      <c r="D10" s="75">
        <f>'14. Facility 3 Warehouse'!F23</f>
        <v>1080000.0000000002</v>
      </c>
      <c r="E10" s="75">
        <f>'14. Facility 3 Warehouse'!G23</f>
        <v>1140000.0000000005</v>
      </c>
      <c r="F10" s="75">
        <f>'14. Facility 3 Warehouse'!H23</f>
        <v>1200000.0000000005</v>
      </c>
      <c r="G10" s="75">
        <f>'14. Facility 3 Warehouse'!I23</f>
        <v>1200000.0000000005</v>
      </c>
      <c r="H10" s="75">
        <f>'14. Facility 3 Warehouse'!J23</f>
        <v>1200000.0000000005</v>
      </c>
      <c r="J10" s="53">
        <f t="shared" si="1"/>
        <v>576000</v>
      </c>
      <c r="K10" s="53">
        <f t="shared" si="2"/>
        <v>665000.00000000023</v>
      </c>
      <c r="L10" s="53">
        <f t="shared" si="3"/>
        <v>760000.00000000023</v>
      </c>
      <c r="M10" s="53">
        <f t="shared" si="4"/>
        <v>820000.00000000047</v>
      </c>
      <c r="N10" s="53">
        <f t="shared" si="5"/>
        <v>880000.00000000047</v>
      </c>
      <c r="O10" s="53">
        <f t="shared" si="6"/>
        <v>880000.00000000047</v>
      </c>
      <c r="P10" s="53">
        <f t="shared" si="7"/>
        <v>880000.00000000047</v>
      </c>
    </row>
    <row r="11" spans="1:16">
      <c r="A11" s="74" t="s">
        <v>511</v>
      </c>
      <c r="B11" s="75">
        <f>'15. Facility 4 Custom Hiring'!E31</f>
        <v>648000</v>
      </c>
      <c r="C11" s="75">
        <f>'15. Facility 4 Custom Hiring'!F31</f>
        <v>684000</v>
      </c>
      <c r="D11" s="75">
        <f>'15. Facility 4 Custom Hiring'!G31</f>
        <v>720000</v>
      </c>
      <c r="E11" s="75">
        <f>'15. Facility 4 Custom Hiring'!H31</f>
        <v>720000</v>
      </c>
      <c r="F11" s="75">
        <f>'15. Facility 4 Custom Hiring'!I31</f>
        <v>720000</v>
      </c>
      <c r="G11" s="75">
        <f>'15. Facility 4 Custom Hiring'!J31</f>
        <v>720000</v>
      </c>
      <c r="H11" s="75">
        <f>'15. Facility 4 Custom Hiring'!K31</f>
        <v>720000</v>
      </c>
      <c r="J11" s="53">
        <f t="shared" si="1"/>
        <v>468000</v>
      </c>
      <c r="K11" s="53">
        <f t="shared" si="2"/>
        <v>494000</v>
      </c>
      <c r="L11" s="53">
        <f t="shared" si="3"/>
        <v>520000</v>
      </c>
      <c r="M11" s="53">
        <f t="shared" si="4"/>
        <v>520000</v>
      </c>
      <c r="N11" s="53">
        <f t="shared" si="5"/>
        <v>520000</v>
      </c>
      <c r="O11" s="53">
        <f t="shared" si="6"/>
        <v>520000</v>
      </c>
      <c r="P11" s="53">
        <f t="shared" si="7"/>
        <v>520000</v>
      </c>
    </row>
    <row r="12" spans="1:16">
      <c r="A12" s="74" t="s">
        <v>507</v>
      </c>
      <c r="B12" s="75">
        <f>'16.Facility 5 Agri Input'!D191</f>
        <v>58656823.399687506</v>
      </c>
      <c r="C12" s="75">
        <f>'16.Facility 5 Agri Input'!E191</f>
        <v>69936981.745781228</v>
      </c>
      <c r="D12" s="75">
        <f>'16.Facility 5 Agri Input'!F191</f>
        <v>78895142.584375009</v>
      </c>
      <c r="E12" s="75">
        <f>'16.Facility 5 Agri Input'!G191</f>
        <v>84172409.646875024</v>
      </c>
      <c r="F12" s="75">
        <f>'16.Facility 5 Agri Input'!H191</f>
        <v>89449676.709375009</v>
      </c>
      <c r="G12" s="75">
        <f>'16.Facility 5 Agri Input'!I191</f>
        <v>94726943.771875009</v>
      </c>
      <c r="H12" s="75">
        <f>'16.Facility 5 Agri Input'!J191</f>
        <v>100004210.83437502</v>
      </c>
      <c r="J12" s="53">
        <f t="shared" si="1"/>
        <v>3390178.7754753903</v>
      </c>
      <c r="K12" s="53">
        <f t="shared" si="2"/>
        <v>4203734.6083917245</v>
      </c>
      <c r="L12" s="53">
        <f t="shared" si="3"/>
        <v>4733918.601457864</v>
      </c>
      <c r="M12" s="53">
        <f t="shared" si="4"/>
        <v>4864898.9175737798</v>
      </c>
      <c r="N12" s="53">
        <f t="shared" si="5"/>
        <v>5169908.2540987581</v>
      </c>
      <c r="O12" s="53">
        <f t="shared" si="6"/>
        <v>5474917.5906237364</v>
      </c>
      <c r="P12" s="53">
        <f t="shared" si="7"/>
        <v>5779926.9271487445</v>
      </c>
    </row>
    <row r="13" spans="1:16">
      <c r="A13" s="74" t="s">
        <v>532</v>
      </c>
      <c r="B13" s="75">
        <f>'17.Facility 6 Horti Processing '!D159</f>
        <v>0</v>
      </c>
      <c r="C13" s="75">
        <f>'17.Facility 6 Horti Processing '!E159</f>
        <v>0</v>
      </c>
      <c r="D13" s="75">
        <f>'17.Facility 6 Horti Processing '!F159</f>
        <v>0</v>
      </c>
      <c r="E13" s="75">
        <f>'17.Facility 6 Horti Processing '!G159</f>
        <v>0</v>
      </c>
      <c r="F13" s="75">
        <f>'17.Facility 6 Horti Processing '!H159</f>
        <v>0</v>
      </c>
      <c r="G13" s="75">
        <f>'17.Facility 6 Horti Processing '!I159</f>
        <v>0</v>
      </c>
      <c r="H13" s="75">
        <f>'17.Facility 6 Horti Processing '!J159</f>
        <v>0</v>
      </c>
      <c r="J13" s="53"/>
      <c r="K13" s="53"/>
      <c r="L13" s="53"/>
      <c r="M13" s="53"/>
      <c r="N13" s="53"/>
      <c r="O13" s="53"/>
    </row>
    <row r="14" spans="1:16">
      <c r="A14" s="74"/>
      <c r="B14" s="75"/>
      <c r="C14" s="75"/>
      <c r="D14" s="75"/>
      <c r="E14" s="75"/>
      <c r="F14" s="75"/>
      <c r="G14" s="75"/>
      <c r="H14" s="75"/>
      <c r="J14" s="53"/>
    </row>
    <row r="15" spans="1:16">
      <c r="A15" s="76" t="s">
        <v>143</v>
      </c>
      <c r="B15" s="92">
        <f>SUM(B8:B14)</f>
        <v>85379712.321910501</v>
      </c>
      <c r="C15" s="92">
        <f t="shared" ref="C15:H15" si="8">SUM(C8:C14)</f>
        <v>106914813.93894897</v>
      </c>
      <c r="D15" s="92">
        <f t="shared" si="8"/>
        <v>126115318.00477001</v>
      </c>
      <c r="E15" s="92">
        <f t="shared" si="8"/>
        <v>139644040.25454503</v>
      </c>
      <c r="F15" s="92">
        <f t="shared" si="8"/>
        <v>153158198.84187001</v>
      </c>
      <c r="G15" s="92">
        <f t="shared" si="8"/>
        <v>166614452.92019498</v>
      </c>
      <c r="H15" s="92">
        <f t="shared" si="8"/>
        <v>180072802.48952001</v>
      </c>
    </row>
    <row r="16" spans="1:16">
      <c r="A16" s="74"/>
      <c r="B16" s="75"/>
      <c r="C16" s="75"/>
      <c r="D16" s="75"/>
      <c r="E16" s="75"/>
      <c r="F16" s="75"/>
      <c r="G16" s="75"/>
      <c r="H16" s="75"/>
    </row>
    <row r="17" spans="1:10">
      <c r="A17" s="76" t="s">
        <v>308</v>
      </c>
      <c r="B17" s="75"/>
      <c r="C17" s="75"/>
      <c r="D17" s="75"/>
      <c r="E17" s="75"/>
      <c r="F17" s="75"/>
      <c r="G17" s="75"/>
      <c r="H17" s="75"/>
    </row>
    <row r="18" spans="1:10">
      <c r="A18" s="74" t="str">
        <f t="shared" ref="A18:A23" si="9">A8</f>
        <v>Faclitiy 1 - Cleaning &amp; Grading</v>
      </c>
      <c r="B18" s="75">
        <f>'12.Facility 1 - Trading'!D288</f>
        <v>15716346.142725</v>
      </c>
      <c r="C18" s="75">
        <f>'12.Facility 1 - Trading'!E288</f>
        <v>20181565.344093751</v>
      </c>
      <c r="D18" s="75">
        <f>'12.Facility 1 - Trading'!F288</f>
        <v>24302127.83180625</v>
      </c>
      <c r="E18" s="75">
        <f>'12.Facility 1 - Trading'!G288</f>
        <v>27419356.330874998</v>
      </c>
      <c r="F18" s="75">
        <f>'12.Facility 1 - Trading'!H288</f>
        <v>30482971.563375</v>
      </c>
      <c r="G18" s="75">
        <f>'12.Facility 1 - Trading'!I288</f>
        <v>33546586.795874998</v>
      </c>
      <c r="H18" s="75">
        <f>'12.Facility 1 - Trading'!J288</f>
        <v>36610202.028375</v>
      </c>
    </row>
    <row r="19" spans="1:10">
      <c r="A19" s="74" t="str">
        <f t="shared" si="9"/>
        <v>Faclitiy 2 - Processing Unit- Dal Mill</v>
      </c>
      <c r="B19" s="75">
        <f>'13.Facility 2 Grain Processing'!D164</f>
        <v>6448430.0429100003</v>
      </c>
      <c r="C19" s="75">
        <f>'13.Facility 2 Grain Processing'!E164</f>
        <v>10549405.2894975</v>
      </c>
      <c r="D19" s="75">
        <f>'13.Facility 2 Grain Processing'!F164</f>
        <v>14867213.710042501</v>
      </c>
      <c r="E19" s="75">
        <f>'13.Facility 2 Grain Processing'!G164</f>
        <v>18666508.01895</v>
      </c>
      <c r="F19" s="75">
        <f>'13.Facility 2 Grain Processing'!H164</f>
        <v>22437519.739949998</v>
      </c>
      <c r="G19" s="75">
        <f>'13.Facility 2 Grain Processing'!I164</f>
        <v>26208531.460950002</v>
      </c>
      <c r="H19" s="75">
        <f>'13.Facility 2 Grain Processing'!J164</f>
        <v>29979543.181949999</v>
      </c>
    </row>
    <row r="20" spans="1:10">
      <c r="A20" s="74" t="str">
        <f t="shared" si="9"/>
        <v>Faclitiy 3 - Warehouse</v>
      </c>
      <c r="B20" s="75">
        <f>'14. Facility 3 Warehouse'!D33</f>
        <v>288000</v>
      </c>
      <c r="C20" s="75">
        <f>'14. Facility 3 Warehouse'!E33</f>
        <v>304000</v>
      </c>
      <c r="D20" s="75">
        <f>'14. Facility 3 Warehouse'!F33</f>
        <v>320000</v>
      </c>
      <c r="E20" s="75">
        <f>'14. Facility 3 Warehouse'!G33</f>
        <v>320000</v>
      </c>
      <c r="F20" s="75">
        <f>'14. Facility 3 Warehouse'!H33</f>
        <v>320000</v>
      </c>
      <c r="G20" s="75">
        <f>'14. Facility 3 Warehouse'!I33</f>
        <v>320000</v>
      </c>
      <c r="H20" s="75">
        <f>'14. Facility 3 Warehouse'!J33</f>
        <v>320000</v>
      </c>
    </row>
    <row r="21" spans="1:10">
      <c r="A21" s="74" t="str">
        <f t="shared" si="9"/>
        <v xml:space="preserve">Faclitiy 4 - Custom Hiring </v>
      </c>
      <c r="B21" s="75">
        <f>'15. Facility 4 Custom Hiring'!E41</f>
        <v>180000</v>
      </c>
      <c r="C21" s="75">
        <f>'15. Facility 4 Custom Hiring'!F41</f>
        <v>190000</v>
      </c>
      <c r="D21" s="75">
        <f>'15. Facility 4 Custom Hiring'!G41</f>
        <v>200000</v>
      </c>
      <c r="E21" s="75">
        <f>'15. Facility 4 Custom Hiring'!H41</f>
        <v>200000</v>
      </c>
      <c r="F21" s="75">
        <f>'15. Facility 4 Custom Hiring'!I41</f>
        <v>200000</v>
      </c>
      <c r="G21" s="75">
        <f>'15. Facility 4 Custom Hiring'!J41</f>
        <v>200000</v>
      </c>
      <c r="H21" s="75">
        <f>'15. Facility 4 Custom Hiring'!K41</f>
        <v>200000</v>
      </c>
    </row>
    <row r="22" spans="1:10">
      <c r="A22" s="74" t="str">
        <f t="shared" si="9"/>
        <v>Faclitiy 5 - Agri Input Centre</v>
      </c>
      <c r="B22" s="75">
        <f>'16.Facility 5 Agri Input'!D263</f>
        <v>55266644.624212116</v>
      </c>
      <c r="C22" s="75">
        <f>'16.Facility 5 Agri Input'!E263</f>
        <v>65733247.137389503</v>
      </c>
      <c r="D22" s="75">
        <f>'16.Facility 5 Agri Input'!F263</f>
        <v>74161223.982917145</v>
      </c>
      <c r="E22" s="75">
        <f>'16.Facility 5 Agri Input'!G263</f>
        <v>79307510.729301244</v>
      </c>
      <c r="F22" s="75">
        <f>'16.Facility 5 Agri Input'!H263</f>
        <v>84279768.455276251</v>
      </c>
      <c r="G22" s="75">
        <f>'16.Facility 5 Agri Input'!I263</f>
        <v>89252026.181251273</v>
      </c>
      <c r="H22" s="75">
        <f>'16.Facility 5 Agri Input'!J263</f>
        <v>94224283.907226279</v>
      </c>
    </row>
    <row r="23" spans="1:10">
      <c r="A23" s="74" t="str">
        <f t="shared" si="9"/>
        <v>Facility 6 - Processing Unit - Horti Commodity</v>
      </c>
      <c r="B23" s="75">
        <f>'17.Facility 6 Horti Processing '!D177</f>
        <v>0</v>
      </c>
      <c r="C23" s="75">
        <f>'17.Facility 6 Horti Processing '!E177</f>
        <v>0</v>
      </c>
      <c r="D23" s="75">
        <f>'17.Facility 6 Horti Processing '!F177</f>
        <v>0</v>
      </c>
      <c r="E23" s="75">
        <f>'17.Facility 6 Horti Processing '!G177</f>
        <v>0</v>
      </c>
      <c r="F23" s="75">
        <f>'17.Facility 6 Horti Processing '!H177</f>
        <v>0</v>
      </c>
      <c r="G23" s="75">
        <f>'17.Facility 6 Horti Processing '!I177</f>
        <v>0</v>
      </c>
      <c r="H23" s="75">
        <f>'17.Facility 6 Horti Processing '!J177</f>
        <v>0</v>
      </c>
    </row>
    <row r="24" spans="1:10">
      <c r="A24" s="74"/>
      <c r="B24" s="75"/>
      <c r="C24" s="75"/>
      <c r="D24" s="75"/>
      <c r="E24" s="75"/>
      <c r="F24" s="75"/>
      <c r="G24" s="75"/>
      <c r="H24" s="75"/>
    </row>
    <row r="25" spans="1:10">
      <c r="A25" s="76" t="s">
        <v>319</v>
      </c>
      <c r="B25" s="92">
        <f>SUM(B18:B24)</f>
        <v>77899420.809847116</v>
      </c>
      <c r="C25" s="92">
        <f t="shared" ref="C25:H25" si="10">SUM(C18:C24)</f>
        <v>96958217.770980746</v>
      </c>
      <c r="D25" s="92">
        <f t="shared" si="10"/>
        <v>113850565.52476589</v>
      </c>
      <c r="E25" s="92">
        <f t="shared" si="10"/>
        <v>125913375.07912624</v>
      </c>
      <c r="F25" s="92">
        <f t="shared" si="10"/>
        <v>137720259.75860125</v>
      </c>
      <c r="G25" s="92">
        <f t="shared" si="10"/>
        <v>149527144.43807626</v>
      </c>
      <c r="H25" s="92">
        <f t="shared" si="10"/>
        <v>161334029.11755127</v>
      </c>
      <c r="J25" s="22"/>
    </row>
    <row r="26" spans="1:10">
      <c r="A26" s="74"/>
      <c r="B26" s="75"/>
      <c r="C26" s="75"/>
      <c r="D26" s="75"/>
      <c r="E26" s="75"/>
      <c r="F26" s="75"/>
      <c r="G26" s="75"/>
      <c r="H26" s="75"/>
    </row>
    <row r="27" spans="1:10">
      <c r="A27" s="76" t="s">
        <v>306</v>
      </c>
      <c r="B27" s="75"/>
      <c r="C27" s="75"/>
      <c r="D27" s="75"/>
      <c r="E27" s="75"/>
      <c r="F27" s="75"/>
      <c r="G27" s="75"/>
      <c r="H27" s="75"/>
    </row>
    <row r="28" spans="1:10">
      <c r="A28" s="74" t="str">
        <f t="shared" ref="A28:A33" si="11">A18</f>
        <v>Faclitiy 1 - Cleaning &amp; Grading</v>
      </c>
      <c r="B28" s="75">
        <f>'12.Facility 1 - Trading'!D297</f>
        <v>421336.51383374992</v>
      </c>
      <c r="C28" s="75">
        <f>'12.Facility 1 - Trading'!E297</f>
        <v>491559.26613937493</v>
      </c>
      <c r="D28" s="75">
        <f>'12.Facility 1 - Trading'!F297</f>
        <v>561782.01844499994</v>
      </c>
      <c r="E28" s="75">
        <f>'12.Facility 1 - Trading'!G297</f>
        <v>632004.77075062494</v>
      </c>
      <c r="F28" s="75">
        <f>'12.Facility 1 - Trading'!H297</f>
        <v>702227.52305624995</v>
      </c>
      <c r="G28" s="75">
        <f>'12.Facility 1 - Trading'!I297</f>
        <v>772450.27536187496</v>
      </c>
      <c r="H28" s="75">
        <f>'12.Facility 1 - Trading'!J297</f>
        <v>842673.02766749996</v>
      </c>
    </row>
    <row r="29" spans="1:10">
      <c r="A29" s="74" t="str">
        <f t="shared" si="11"/>
        <v>Faclitiy 2 - Processing Unit- Dal Mill</v>
      </c>
      <c r="B29" s="75">
        <f>'13.Facility 2 Grain Processing'!D176</f>
        <v>347730.17096325004</v>
      </c>
      <c r="C29" s="75">
        <f>'13.Facility 2 Grain Processing'!E176</f>
        <v>473595.25644487503</v>
      </c>
      <c r="D29" s="75">
        <f>'13.Facility 2 Grain Processing'!F176</f>
        <v>599460.34192650008</v>
      </c>
      <c r="E29" s="75">
        <f>'13.Facility 2 Grain Processing'!G176</f>
        <v>725325.42740812502</v>
      </c>
      <c r="F29" s="75">
        <f>'13.Facility 2 Grain Processing'!H176</f>
        <v>851190.51288975007</v>
      </c>
      <c r="G29" s="75">
        <f>'13.Facility 2 Grain Processing'!I176</f>
        <v>977055.59837137512</v>
      </c>
      <c r="H29" s="75">
        <f>'13.Facility 2 Grain Processing'!J176</f>
        <v>1102920.6838529999</v>
      </c>
    </row>
    <row r="30" spans="1:10">
      <c r="A30" s="74" t="str">
        <f t="shared" si="11"/>
        <v>Faclitiy 3 - Warehouse</v>
      </c>
      <c r="B30" s="75">
        <f>'14. Facility 3 Warehouse'!D42</f>
        <v>780000</v>
      </c>
      <c r="C30" s="75">
        <f>'14. Facility 3 Warehouse'!E42</f>
        <v>780000</v>
      </c>
      <c r="D30" s="75">
        <f>'14. Facility 3 Warehouse'!F42</f>
        <v>780000</v>
      </c>
      <c r="E30" s="75">
        <f>'14. Facility 3 Warehouse'!G42</f>
        <v>780000</v>
      </c>
      <c r="F30" s="75">
        <f>'14. Facility 3 Warehouse'!H42</f>
        <v>780000</v>
      </c>
      <c r="G30" s="75">
        <f>'14. Facility 3 Warehouse'!I42</f>
        <v>780000</v>
      </c>
      <c r="H30" s="75">
        <f>'14. Facility 3 Warehouse'!J42</f>
        <v>780000</v>
      </c>
    </row>
    <row r="31" spans="1:10">
      <c r="A31" s="74" t="str">
        <f t="shared" si="11"/>
        <v xml:space="preserve">Faclitiy 4 - Custom Hiring </v>
      </c>
      <c r="B31" s="75">
        <f>'15. Facility 4 Custom Hiring'!E48</f>
        <v>84000</v>
      </c>
      <c r="C31" s="75">
        <f>'15. Facility 4 Custom Hiring'!F48</f>
        <v>84000</v>
      </c>
      <c r="D31" s="75">
        <f>'15. Facility 4 Custom Hiring'!G48</f>
        <v>84000</v>
      </c>
      <c r="E31" s="75">
        <f>'15. Facility 4 Custom Hiring'!H48</f>
        <v>84000</v>
      </c>
      <c r="F31" s="75">
        <f>'15. Facility 4 Custom Hiring'!I48</f>
        <v>84000</v>
      </c>
      <c r="G31" s="75">
        <f>'15. Facility 4 Custom Hiring'!J48</f>
        <v>84000</v>
      </c>
      <c r="H31" s="75">
        <f>'15. Facility 4 Custom Hiring'!K48</f>
        <v>84000</v>
      </c>
    </row>
    <row r="32" spans="1:10">
      <c r="A32" s="74" t="str">
        <f t="shared" si="11"/>
        <v>Faclitiy 5 - Agri Input Centre</v>
      </c>
      <c r="B32" s="75">
        <f>'16.Facility 5 Agri Input'!D274</f>
        <v>450000</v>
      </c>
      <c r="C32" s="75">
        <f>'16.Facility 5 Agri Input'!E274</f>
        <v>450000</v>
      </c>
      <c r="D32" s="75">
        <f>'16.Facility 5 Agri Input'!F274</f>
        <v>450000</v>
      </c>
      <c r="E32" s="75">
        <f>'16.Facility 5 Agri Input'!G274</f>
        <v>450000</v>
      </c>
      <c r="F32" s="75">
        <f>'16.Facility 5 Agri Input'!H274</f>
        <v>450000</v>
      </c>
      <c r="G32" s="75">
        <f>'16.Facility 5 Agri Input'!I274</f>
        <v>450000</v>
      </c>
      <c r="H32" s="75">
        <f>'16.Facility 5 Agri Input'!J274</f>
        <v>450000</v>
      </c>
    </row>
    <row r="33" spans="1:10">
      <c r="A33" s="74" t="str">
        <f t="shared" si="11"/>
        <v>Facility 6 - Processing Unit - Horti Commodity</v>
      </c>
      <c r="B33" s="75">
        <f>'17.Facility 6 Horti Processing '!D185</f>
        <v>0</v>
      </c>
      <c r="C33" s="75">
        <f>'17.Facility 6 Horti Processing '!E185</f>
        <v>0</v>
      </c>
      <c r="D33" s="75">
        <f>'17.Facility 6 Horti Processing '!F185</f>
        <v>0</v>
      </c>
      <c r="E33" s="75">
        <f>'17.Facility 6 Horti Processing '!G185</f>
        <v>0</v>
      </c>
      <c r="F33" s="75">
        <f>'17.Facility 6 Horti Processing '!H185</f>
        <v>0</v>
      </c>
      <c r="G33" s="75">
        <f>'17.Facility 6 Horti Processing '!I185</f>
        <v>0</v>
      </c>
      <c r="H33" s="75">
        <f>'17.Facility 6 Horti Processing '!J185</f>
        <v>0</v>
      </c>
    </row>
    <row r="34" spans="1:10">
      <c r="A34" s="74"/>
      <c r="B34" s="75"/>
      <c r="C34" s="75"/>
      <c r="D34" s="75"/>
      <c r="E34" s="75"/>
      <c r="F34" s="75"/>
      <c r="G34" s="75"/>
      <c r="H34" s="75"/>
    </row>
    <row r="35" spans="1:10">
      <c r="A35" s="74" t="s">
        <v>9</v>
      </c>
      <c r="B35" s="75">
        <f>'3.Other Exp &amp; Taxes'!E23</f>
        <v>2032000</v>
      </c>
      <c r="C35" s="75">
        <f>'3.Other Exp &amp; Taxes'!F23</f>
        <v>2133600</v>
      </c>
      <c r="D35" s="75">
        <f>'3.Other Exp &amp; Taxes'!G23</f>
        <v>2235200</v>
      </c>
      <c r="E35" s="75">
        <f>'3.Other Exp &amp; Taxes'!H23</f>
        <v>2336800</v>
      </c>
      <c r="F35" s="75">
        <f>'3.Other Exp &amp; Taxes'!I23</f>
        <v>2438400</v>
      </c>
      <c r="G35" s="75">
        <f>'3.Other Exp &amp; Taxes'!J23</f>
        <v>2540000</v>
      </c>
      <c r="H35" s="75">
        <f>'3.Other Exp &amp; Taxes'!K23</f>
        <v>2641600</v>
      </c>
    </row>
    <row r="36" spans="1:10">
      <c r="A36" s="76" t="s">
        <v>323</v>
      </c>
      <c r="B36" s="92">
        <f t="shared" ref="B36:H36" si="12">SUM(B28:B35)</f>
        <v>4115066.6847970001</v>
      </c>
      <c r="C36" s="92">
        <f t="shared" si="12"/>
        <v>4412754.5225842502</v>
      </c>
      <c r="D36" s="92">
        <f t="shared" si="12"/>
        <v>4710442.3603715003</v>
      </c>
      <c r="E36" s="92">
        <f t="shared" si="12"/>
        <v>5008130.1981587503</v>
      </c>
      <c r="F36" s="92">
        <f t="shared" si="12"/>
        <v>5305818.0359460004</v>
      </c>
      <c r="G36" s="92">
        <f t="shared" si="12"/>
        <v>5603505.8737332504</v>
      </c>
      <c r="H36" s="92">
        <f t="shared" si="12"/>
        <v>5901193.7115205005</v>
      </c>
    </row>
    <row r="37" spans="1:10">
      <c r="A37" s="74"/>
      <c r="B37" s="75"/>
      <c r="C37" s="75"/>
      <c r="D37" s="75"/>
      <c r="E37" s="75"/>
      <c r="F37" s="75"/>
      <c r="G37" s="75"/>
      <c r="H37" s="75"/>
    </row>
    <row r="38" spans="1:10">
      <c r="A38" s="76" t="s">
        <v>328</v>
      </c>
      <c r="B38" s="92">
        <f t="shared" ref="B38:H38" si="13">B25+B36</f>
        <v>82014487.49464412</v>
      </c>
      <c r="C38" s="92">
        <f t="shared" si="13"/>
        <v>101370972.29356499</v>
      </c>
      <c r="D38" s="92">
        <f t="shared" si="13"/>
        <v>118561007.88513739</v>
      </c>
      <c r="E38" s="92">
        <f t="shared" si="13"/>
        <v>130921505.27728499</v>
      </c>
      <c r="F38" s="92">
        <f t="shared" si="13"/>
        <v>143026077.79454726</v>
      </c>
      <c r="G38" s="92">
        <f t="shared" si="13"/>
        <v>155130650.31180951</v>
      </c>
      <c r="H38" s="92">
        <f t="shared" si="13"/>
        <v>167235222.82907176</v>
      </c>
    </row>
    <row r="39" spans="1:10">
      <c r="A39" s="74"/>
      <c r="B39" s="75"/>
      <c r="C39" s="75"/>
      <c r="D39" s="75"/>
      <c r="E39" s="75"/>
      <c r="F39" s="75"/>
      <c r="G39" s="75"/>
      <c r="H39" s="75"/>
    </row>
    <row r="40" spans="1:10">
      <c r="A40" s="76" t="s">
        <v>136</v>
      </c>
      <c r="B40" s="92">
        <f t="shared" ref="B40:H40" si="14">B15-B38</f>
        <v>3365224.8272663802</v>
      </c>
      <c r="C40" s="92">
        <f t="shared" si="14"/>
        <v>5543841.6453839839</v>
      </c>
      <c r="D40" s="92">
        <f t="shared" si="14"/>
        <v>7554310.1196326166</v>
      </c>
      <c r="E40" s="92">
        <f t="shared" si="14"/>
        <v>8722534.9772600383</v>
      </c>
      <c r="F40" s="92">
        <f t="shared" si="14"/>
        <v>10132121.04732275</v>
      </c>
      <c r="G40" s="92">
        <f t="shared" si="14"/>
        <v>11483802.608385473</v>
      </c>
      <c r="H40" s="92">
        <f t="shared" si="14"/>
        <v>12837579.660448253</v>
      </c>
      <c r="J40" s="53">
        <f>B49+B42+B43</f>
        <v>1703469.5207795952</v>
      </c>
    </row>
    <row r="41" spans="1:10">
      <c r="A41" s="74"/>
      <c r="B41" s="75"/>
      <c r="C41" s="75"/>
      <c r="D41" s="75"/>
      <c r="E41" s="75"/>
      <c r="F41" s="75"/>
      <c r="G41" s="75"/>
      <c r="H41" s="75"/>
      <c r="J41">
        <f>'5.Closing Stock &amp; W Capital'!E57</f>
        <v>1444514.3893238574</v>
      </c>
    </row>
    <row r="42" spans="1:10">
      <c r="A42" s="74" t="s">
        <v>17</v>
      </c>
      <c r="B42" s="75">
        <f>'3.Other Exp &amp; Taxes'!C66</f>
        <v>1078515.4634161398</v>
      </c>
      <c r="C42" s="75">
        <f>'3.Other Exp &amp; Taxes'!D66</f>
        <v>1078515.4634161398</v>
      </c>
      <c r="D42" s="75">
        <f>'3.Other Exp &amp; Taxes'!E66</f>
        <v>1078515.4634161398</v>
      </c>
      <c r="E42" s="75">
        <f>'3.Other Exp &amp; Taxes'!F66</f>
        <v>1078515.4634161398</v>
      </c>
      <c r="F42" s="75">
        <f>'3.Other Exp &amp; Taxes'!G66</f>
        <v>1078515.4634161398</v>
      </c>
      <c r="G42" s="75">
        <f>'3.Other Exp &amp; Taxes'!H66</f>
        <v>1078515.4634161398</v>
      </c>
      <c r="H42" s="75">
        <f>'3.Other Exp &amp; Taxes'!I66</f>
        <v>1078515.4634161398</v>
      </c>
      <c r="J42" s="53">
        <f>J40+J41</f>
        <v>3147983.9101034524</v>
      </c>
    </row>
    <row r="43" spans="1:10">
      <c r="A43" s="74" t="s">
        <v>137</v>
      </c>
      <c r="B43" s="75">
        <f>'3.Other Exp &amp; Taxes'!C86</f>
        <v>149729.20000000001</v>
      </c>
      <c r="C43" s="75">
        <f>'3.Other Exp &amp; Taxes'!D86</f>
        <v>149729.20000000001</v>
      </c>
      <c r="D43" s="75">
        <f>'3.Other Exp &amp; Taxes'!E86</f>
        <v>149729.20000000001</v>
      </c>
      <c r="E43" s="75">
        <f>'3.Other Exp &amp; Taxes'!F86</f>
        <v>149729.20000000001</v>
      </c>
      <c r="F43" s="75">
        <f>'3.Other Exp &amp; Taxes'!G86</f>
        <v>149729.20000000001</v>
      </c>
      <c r="G43" s="75">
        <f>'3.Other Exp &amp; Taxes'!H86</f>
        <v>0</v>
      </c>
      <c r="H43" s="75">
        <f>'3.Other Exp &amp; Taxes'!I86</f>
        <v>0</v>
      </c>
    </row>
    <row r="44" spans="1:10">
      <c r="A44" s="74"/>
      <c r="B44" s="75"/>
      <c r="C44" s="75"/>
      <c r="D44" s="75"/>
      <c r="E44" s="75"/>
      <c r="F44" s="75"/>
      <c r="G44" s="75"/>
      <c r="H44" s="75"/>
    </row>
    <row r="45" spans="1:10">
      <c r="A45" s="76" t="s">
        <v>138</v>
      </c>
      <c r="B45" s="92">
        <f>B40-B42-B43</f>
        <v>2136980.1638502404</v>
      </c>
      <c r="C45" s="92">
        <f t="shared" ref="C45:H45" si="15">C40-C42-C43</f>
        <v>4315596.9819678441</v>
      </c>
      <c r="D45" s="92">
        <f t="shared" si="15"/>
        <v>6326065.4562164769</v>
      </c>
      <c r="E45" s="92">
        <f t="shared" si="15"/>
        <v>7494290.3138438985</v>
      </c>
      <c r="F45" s="92">
        <f t="shared" si="15"/>
        <v>8903876.3839066103</v>
      </c>
      <c r="G45" s="92">
        <f t="shared" si="15"/>
        <v>10405287.144969333</v>
      </c>
      <c r="H45" s="92">
        <f t="shared" si="15"/>
        <v>11759064.197032113</v>
      </c>
    </row>
    <row r="46" spans="1:10">
      <c r="A46" s="74"/>
      <c r="B46" s="75"/>
      <c r="C46" s="75"/>
      <c r="D46" s="75"/>
      <c r="E46" s="75"/>
      <c r="F46" s="75"/>
      <c r="G46" s="75"/>
      <c r="H46" s="75"/>
    </row>
    <row r="47" spans="1:10">
      <c r="A47" s="74" t="s">
        <v>24</v>
      </c>
      <c r="B47" s="75">
        <f>'8.Cash Flow '!C27+'8.Cash Flow '!C29</f>
        <v>1661755.3064867849</v>
      </c>
      <c r="C47" s="75">
        <f>'8.Cash Flow '!D27+'8.Cash Flow '!D29</f>
        <v>1758807.0816653548</v>
      </c>
      <c r="D47" s="75">
        <f>'8.Cash Flow '!E27+'8.Cash Flow '!E29</f>
        <v>1594438.1935017495</v>
      </c>
      <c r="E47" s="75">
        <f>'8.Cash Flow '!F27+'8.Cash Flow '!F29</f>
        <v>1330777.6287394639</v>
      </c>
      <c r="F47" s="75">
        <f>'8.Cash Flow '!G27+'8.Cash Flow '!G29</f>
        <v>1003378.9075740665</v>
      </c>
      <c r="G47" s="75">
        <f>'8.Cash Flow '!H27+'8.Cash Flow '!H29</f>
        <v>601073.86807122675</v>
      </c>
      <c r="H47" s="75">
        <f>'8.Cash Flow '!I27+'8.Cash Flow '!I29</f>
        <v>111280.41686689598</v>
      </c>
    </row>
    <row r="48" spans="1:10">
      <c r="A48" s="74"/>
      <c r="B48" s="75"/>
      <c r="C48" s="75"/>
      <c r="D48" s="75"/>
      <c r="E48" s="75"/>
      <c r="F48" s="75"/>
      <c r="G48" s="75"/>
      <c r="H48" s="75"/>
    </row>
    <row r="49" spans="1:9">
      <c r="A49" s="74" t="s">
        <v>25</v>
      </c>
      <c r="B49" s="75">
        <f>B45-B47</f>
        <v>475224.85736345546</v>
      </c>
      <c r="C49" s="75">
        <f t="shared" ref="C49:H49" si="16">C45-C47</f>
        <v>2556789.9003024893</v>
      </c>
      <c r="D49" s="75">
        <f t="shared" si="16"/>
        <v>4731627.2627147269</v>
      </c>
      <c r="E49" s="75">
        <f t="shared" si="16"/>
        <v>6163512.6851044344</v>
      </c>
      <c r="F49" s="75">
        <f t="shared" si="16"/>
        <v>7900497.4763325434</v>
      </c>
      <c r="G49" s="75">
        <f t="shared" si="16"/>
        <v>9804213.2768981066</v>
      </c>
      <c r="H49" s="75">
        <f t="shared" si="16"/>
        <v>11647783.780165216</v>
      </c>
    </row>
    <row r="50" spans="1:9">
      <c r="A50" s="74" t="s">
        <v>26</v>
      </c>
      <c r="B50" s="75">
        <f>'3.Other Exp &amp; Taxes'!B99</f>
        <v>-344088.02444650524</v>
      </c>
      <c r="C50" s="75">
        <f>'3.Other Exp &amp; Taxes'!C99</f>
        <v>293645.01250256354</v>
      </c>
      <c r="D50" s="75">
        <f>'3.Other Exp &amp; Taxes'!D99</f>
        <v>942109.82868617342</v>
      </c>
      <c r="E50" s="75">
        <f>'3.Other Exp &amp; Taxes'!E99</f>
        <v>1386063.3407057826</v>
      </c>
      <c r="F50" s="75">
        <f>'3.Other Exp &amp; Taxes'!F99</f>
        <v>1899735.748275423</v>
      </c>
      <c r="G50" s="75">
        <f>'3.Other Exp &amp; Taxes'!G99</f>
        <v>2448565.6730788616</v>
      </c>
      <c r="H50" s="75">
        <f>'3.Other Exp &amp; Taxes'!H99</f>
        <v>2974735.1320214928</v>
      </c>
    </row>
    <row r="51" spans="1:9">
      <c r="A51" s="76" t="s">
        <v>28</v>
      </c>
      <c r="B51" s="75">
        <f>B49-B50</f>
        <v>819312.8818099607</v>
      </c>
      <c r="C51" s="75">
        <f>C49-C50</f>
        <v>2263144.8877999256</v>
      </c>
      <c r="D51" s="75">
        <f>D49-D50</f>
        <v>3789517.4340285533</v>
      </c>
      <c r="E51" s="75">
        <f>E49-E50</f>
        <v>4777449.3443986513</v>
      </c>
      <c r="F51" s="75">
        <f>F49-F50</f>
        <v>6000761.72805712</v>
      </c>
      <c r="G51" s="75">
        <f t="shared" ref="G51:H51" si="17">G49-G50</f>
        <v>7355647.6038192455</v>
      </c>
      <c r="H51" s="75">
        <f t="shared" si="17"/>
        <v>8673048.6481437236</v>
      </c>
    </row>
    <row r="52" spans="1:9">
      <c r="A52" s="73"/>
      <c r="B52" s="89"/>
      <c r="C52" s="89"/>
      <c r="D52" s="89"/>
      <c r="E52" s="89"/>
      <c r="F52" s="89"/>
      <c r="G52" s="89"/>
      <c r="H52" s="89"/>
    </row>
    <row r="53" spans="1:9">
      <c r="A53" s="73" t="s">
        <v>512</v>
      </c>
      <c r="B53" s="89">
        <f>B51</f>
        <v>819312.8818099607</v>
      </c>
      <c r="C53" s="89">
        <f t="shared" ref="C53:H53" si="18">B53+C51</f>
        <v>3082457.7696098862</v>
      </c>
      <c r="D53" s="89">
        <f t="shared" si="18"/>
        <v>6871975.20363844</v>
      </c>
      <c r="E53" s="89">
        <f t="shared" si="18"/>
        <v>11649424.548037091</v>
      </c>
      <c r="F53" s="89">
        <f t="shared" si="18"/>
        <v>17650186.276094213</v>
      </c>
      <c r="G53" s="89">
        <f t="shared" si="18"/>
        <v>25005833.879913457</v>
      </c>
      <c r="H53" s="89">
        <f t="shared" si="18"/>
        <v>33678882.52805718</v>
      </c>
    </row>
    <row r="56" spans="1:9" ht="32.450000000000003" customHeight="1">
      <c r="A56" s="399" t="s">
        <v>407</v>
      </c>
      <c r="B56" s="399"/>
      <c r="C56" s="399"/>
      <c r="D56" s="399"/>
      <c r="E56" s="399"/>
      <c r="F56" s="399"/>
      <c r="G56" s="399"/>
      <c r="H56" s="399"/>
      <c r="I56" s="399"/>
    </row>
    <row r="58" spans="1:9">
      <c r="A58" s="256"/>
    </row>
  </sheetData>
  <mergeCells count="2">
    <mergeCell ref="A2:H2"/>
    <mergeCell ref="A56:I56"/>
  </mergeCells>
  <pageMargins left="0.7" right="0.7" top="0.75" bottom="0.75" header="0.3" footer="0.3"/>
  <pageSetup scale="59" orientation="portrait" r:id="rId1"/>
</worksheet>
</file>

<file path=xl/worksheets/sheet8.xml><?xml version="1.0" encoding="utf-8"?>
<worksheet xmlns="http://schemas.openxmlformats.org/spreadsheetml/2006/main" xmlns:r="http://schemas.openxmlformats.org/officeDocument/2006/relationships">
  <dimension ref="A1:R50"/>
  <sheetViews>
    <sheetView view="pageBreakPreview" topLeftCell="A22" zoomScale="80" zoomScaleSheetLayoutView="80" workbookViewId="0">
      <selection activeCell="D28" sqref="D28"/>
    </sheetView>
  </sheetViews>
  <sheetFormatPr defaultRowHeight="15"/>
  <cols>
    <col min="1" max="1" width="37.28515625" style="44" customWidth="1"/>
    <col min="2" max="2" width="18.42578125" style="44" bestFit="1" customWidth="1"/>
    <col min="3" max="3" width="12.42578125" style="44" bestFit="1" customWidth="1"/>
    <col min="4" max="6" width="13.5703125" style="44" bestFit="1" customWidth="1"/>
    <col min="7" max="8" width="12.42578125" style="44" bestFit="1" customWidth="1"/>
    <col min="9" max="9" width="9.140625" style="44"/>
    <col min="10" max="10" width="32.85546875" style="44" bestFit="1" customWidth="1"/>
    <col min="11" max="16" width="8.7109375" style="44" bestFit="1"/>
    <col min="17" max="17" width="10.140625" style="44" bestFit="1" customWidth="1"/>
    <col min="18" max="256" width="9.140625" style="44"/>
    <col min="257" max="257" width="37.28515625" style="44" customWidth="1"/>
    <col min="258" max="258" width="18.42578125" style="44" bestFit="1" customWidth="1"/>
    <col min="259" max="262" width="12.42578125" style="44" bestFit="1" customWidth="1"/>
    <col min="263" max="263" width="11.7109375" style="44" bestFit="1" customWidth="1"/>
    <col min="264" max="512" width="9.140625" style="44"/>
    <col min="513" max="513" width="37.28515625" style="44" customWidth="1"/>
    <col min="514" max="514" width="18.42578125" style="44" bestFit="1" customWidth="1"/>
    <col min="515" max="518" width="12.42578125" style="44" bestFit="1" customWidth="1"/>
    <col min="519" max="519" width="11.7109375" style="44" bestFit="1" customWidth="1"/>
    <col min="520" max="768" width="9.140625" style="44"/>
    <col min="769" max="769" width="37.28515625" style="44" customWidth="1"/>
    <col min="770" max="770" width="18.42578125" style="44" bestFit="1" customWidth="1"/>
    <col min="771" max="774" width="12.42578125" style="44" bestFit="1" customWidth="1"/>
    <col min="775" max="775" width="11.7109375" style="44" bestFit="1" customWidth="1"/>
    <col min="776" max="1024" width="9.140625" style="44"/>
    <col min="1025" max="1025" width="37.28515625" style="44" customWidth="1"/>
    <col min="1026" max="1026" width="18.42578125" style="44" bestFit="1" customWidth="1"/>
    <col min="1027" max="1030" width="12.42578125" style="44" bestFit="1" customWidth="1"/>
    <col min="1031" max="1031" width="11.7109375" style="44" bestFit="1" customWidth="1"/>
    <col min="1032" max="1280" width="9.140625" style="44"/>
    <col min="1281" max="1281" width="37.28515625" style="44" customWidth="1"/>
    <col min="1282" max="1282" width="18.42578125" style="44" bestFit="1" customWidth="1"/>
    <col min="1283" max="1286" width="12.42578125" style="44" bestFit="1" customWidth="1"/>
    <col min="1287" max="1287" width="11.7109375" style="44" bestFit="1" customWidth="1"/>
    <col min="1288" max="1536" width="9.140625" style="44"/>
    <col min="1537" max="1537" width="37.28515625" style="44" customWidth="1"/>
    <col min="1538" max="1538" width="18.42578125" style="44" bestFit="1" customWidth="1"/>
    <col min="1539" max="1542" width="12.42578125" style="44" bestFit="1" customWidth="1"/>
    <col min="1543" max="1543" width="11.7109375" style="44" bestFit="1" customWidth="1"/>
    <col min="1544" max="1792" width="9.140625" style="44"/>
    <col min="1793" max="1793" width="37.28515625" style="44" customWidth="1"/>
    <col min="1794" max="1794" width="18.42578125" style="44" bestFit="1" customWidth="1"/>
    <col min="1795" max="1798" width="12.42578125" style="44" bestFit="1" customWidth="1"/>
    <col min="1799" max="1799" width="11.7109375" style="44" bestFit="1" customWidth="1"/>
    <col min="1800" max="2048" width="9.140625" style="44"/>
    <col min="2049" max="2049" width="37.28515625" style="44" customWidth="1"/>
    <col min="2050" max="2050" width="18.42578125" style="44" bestFit="1" customWidth="1"/>
    <col min="2051" max="2054" width="12.42578125" style="44" bestFit="1" customWidth="1"/>
    <col min="2055" max="2055" width="11.7109375" style="44" bestFit="1" customWidth="1"/>
    <col min="2056" max="2304" width="9.140625" style="44"/>
    <col min="2305" max="2305" width="37.28515625" style="44" customWidth="1"/>
    <col min="2306" max="2306" width="18.42578125" style="44" bestFit="1" customWidth="1"/>
    <col min="2307" max="2310" width="12.42578125" style="44" bestFit="1" customWidth="1"/>
    <col min="2311" max="2311" width="11.7109375" style="44" bestFit="1" customWidth="1"/>
    <col min="2312" max="2560" width="9.140625" style="44"/>
    <col min="2561" max="2561" width="37.28515625" style="44" customWidth="1"/>
    <col min="2562" max="2562" width="18.42578125" style="44" bestFit="1" customWidth="1"/>
    <col min="2563" max="2566" width="12.42578125" style="44" bestFit="1" customWidth="1"/>
    <col min="2567" max="2567" width="11.7109375" style="44" bestFit="1" customWidth="1"/>
    <col min="2568" max="2816" width="9.140625" style="44"/>
    <col min="2817" max="2817" width="37.28515625" style="44" customWidth="1"/>
    <col min="2818" max="2818" width="18.42578125" style="44" bestFit="1" customWidth="1"/>
    <col min="2819" max="2822" width="12.42578125" style="44" bestFit="1" customWidth="1"/>
    <col min="2823" max="2823" width="11.7109375" style="44" bestFit="1" customWidth="1"/>
    <col min="2824" max="3072" width="9.140625" style="44"/>
    <col min="3073" max="3073" width="37.28515625" style="44" customWidth="1"/>
    <col min="3074" max="3074" width="18.42578125" style="44" bestFit="1" customWidth="1"/>
    <col min="3075" max="3078" width="12.42578125" style="44" bestFit="1" customWidth="1"/>
    <col min="3079" max="3079" width="11.7109375" style="44" bestFit="1" customWidth="1"/>
    <col min="3080" max="3328" width="9.140625" style="44"/>
    <col min="3329" max="3329" width="37.28515625" style="44" customWidth="1"/>
    <col min="3330" max="3330" width="18.42578125" style="44" bestFit="1" customWidth="1"/>
    <col min="3331" max="3334" width="12.42578125" style="44" bestFit="1" customWidth="1"/>
    <col min="3335" max="3335" width="11.7109375" style="44" bestFit="1" customWidth="1"/>
    <col min="3336" max="3584" width="9.140625" style="44"/>
    <col min="3585" max="3585" width="37.28515625" style="44" customWidth="1"/>
    <col min="3586" max="3586" width="18.42578125" style="44" bestFit="1" customWidth="1"/>
    <col min="3587" max="3590" width="12.42578125" style="44" bestFit="1" customWidth="1"/>
    <col min="3591" max="3591" width="11.7109375" style="44" bestFit="1" customWidth="1"/>
    <col min="3592" max="3840" width="9.140625" style="44"/>
    <col min="3841" max="3841" width="37.28515625" style="44" customWidth="1"/>
    <col min="3842" max="3842" width="18.42578125" style="44" bestFit="1" customWidth="1"/>
    <col min="3843" max="3846" width="12.42578125" style="44" bestFit="1" customWidth="1"/>
    <col min="3847" max="3847" width="11.7109375" style="44" bestFit="1" customWidth="1"/>
    <col min="3848" max="4096" width="9.140625" style="44"/>
    <col min="4097" max="4097" width="37.28515625" style="44" customWidth="1"/>
    <col min="4098" max="4098" width="18.42578125" style="44" bestFit="1" customWidth="1"/>
    <col min="4099" max="4102" width="12.42578125" style="44" bestFit="1" customWidth="1"/>
    <col min="4103" max="4103" width="11.7109375" style="44" bestFit="1" customWidth="1"/>
    <col min="4104" max="4352" width="9.140625" style="44"/>
    <col min="4353" max="4353" width="37.28515625" style="44" customWidth="1"/>
    <col min="4354" max="4354" width="18.42578125" style="44" bestFit="1" customWidth="1"/>
    <col min="4355" max="4358" width="12.42578125" style="44" bestFit="1" customWidth="1"/>
    <col min="4359" max="4359" width="11.7109375" style="44" bestFit="1" customWidth="1"/>
    <col min="4360" max="4608" width="9.140625" style="44"/>
    <col min="4609" max="4609" width="37.28515625" style="44" customWidth="1"/>
    <col min="4610" max="4610" width="18.42578125" style="44" bestFit="1" customWidth="1"/>
    <col min="4611" max="4614" width="12.42578125" style="44" bestFit="1" customWidth="1"/>
    <col min="4615" max="4615" width="11.7109375" style="44" bestFit="1" customWidth="1"/>
    <col min="4616" max="4864" width="9.140625" style="44"/>
    <col min="4865" max="4865" width="37.28515625" style="44" customWidth="1"/>
    <col min="4866" max="4866" width="18.42578125" style="44" bestFit="1" customWidth="1"/>
    <col min="4867" max="4870" width="12.42578125" style="44" bestFit="1" customWidth="1"/>
    <col min="4871" max="4871" width="11.7109375" style="44" bestFit="1" customWidth="1"/>
    <col min="4872" max="5120" width="9.140625" style="44"/>
    <col min="5121" max="5121" width="37.28515625" style="44" customWidth="1"/>
    <col min="5122" max="5122" width="18.42578125" style="44" bestFit="1" customWidth="1"/>
    <col min="5123" max="5126" width="12.42578125" style="44" bestFit="1" customWidth="1"/>
    <col min="5127" max="5127" width="11.7109375" style="44" bestFit="1" customWidth="1"/>
    <col min="5128" max="5376" width="9.140625" style="44"/>
    <col min="5377" max="5377" width="37.28515625" style="44" customWidth="1"/>
    <col min="5378" max="5378" width="18.42578125" style="44" bestFit="1" customWidth="1"/>
    <col min="5379" max="5382" width="12.42578125" style="44" bestFit="1" customWidth="1"/>
    <col min="5383" max="5383" width="11.7109375" style="44" bestFit="1" customWidth="1"/>
    <col min="5384" max="5632" width="9.140625" style="44"/>
    <col min="5633" max="5633" width="37.28515625" style="44" customWidth="1"/>
    <col min="5634" max="5634" width="18.42578125" style="44" bestFit="1" customWidth="1"/>
    <col min="5635" max="5638" width="12.42578125" style="44" bestFit="1" customWidth="1"/>
    <col min="5639" max="5639" width="11.7109375" style="44" bestFit="1" customWidth="1"/>
    <col min="5640" max="5888" width="9.140625" style="44"/>
    <col min="5889" max="5889" width="37.28515625" style="44" customWidth="1"/>
    <col min="5890" max="5890" width="18.42578125" style="44" bestFit="1" customWidth="1"/>
    <col min="5891" max="5894" width="12.42578125" style="44" bestFit="1" customWidth="1"/>
    <col min="5895" max="5895" width="11.7109375" style="44" bestFit="1" customWidth="1"/>
    <col min="5896" max="6144" width="9.140625" style="44"/>
    <col min="6145" max="6145" width="37.28515625" style="44" customWidth="1"/>
    <col min="6146" max="6146" width="18.42578125" style="44" bestFit="1" customWidth="1"/>
    <col min="6147" max="6150" width="12.42578125" style="44" bestFit="1" customWidth="1"/>
    <col min="6151" max="6151" width="11.7109375" style="44" bestFit="1" customWidth="1"/>
    <col min="6152" max="6400" width="9.140625" style="44"/>
    <col min="6401" max="6401" width="37.28515625" style="44" customWidth="1"/>
    <col min="6402" max="6402" width="18.42578125" style="44" bestFit="1" customWidth="1"/>
    <col min="6403" max="6406" width="12.42578125" style="44" bestFit="1" customWidth="1"/>
    <col min="6407" max="6407" width="11.7109375" style="44" bestFit="1" customWidth="1"/>
    <col min="6408" max="6656" width="9.140625" style="44"/>
    <col min="6657" max="6657" width="37.28515625" style="44" customWidth="1"/>
    <col min="6658" max="6658" width="18.42578125" style="44" bestFit="1" customWidth="1"/>
    <col min="6659" max="6662" width="12.42578125" style="44" bestFit="1" customWidth="1"/>
    <col min="6663" max="6663" width="11.7109375" style="44" bestFit="1" customWidth="1"/>
    <col min="6664" max="6912" width="9.140625" style="44"/>
    <col min="6913" max="6913" width="37.28515625" style="44" customWidth="1"/>
    <col min="6914" max="6914" width="18.42578125" style="44" bestFit="1" customWidth="1"/>
    <col min="6915" max="6918" width="12.42578125" style="44" bestFit="1" customWidth="1"/>
    <col min="6919" max="6919" width="11.7109375" style="44" bestFit="1" customWidth="1"/>
    <col min="6920" max="7168" width="9.140625" style="44"/>
    <col min="7169" max="7169" width="37.28515625" style="44" customWidth="1"/>
    <col min="7170" max="7170" width="18.42578125" style="44" bestFit="1" customWidth="1"/>
    <col min="7171" max="7174" width="12.42578125" style="44" bestFit="1" customWidth="1"/>
    <col min="7175" max="7175" width="11.7109375" style="44" bestFit="1" customWidth="1"/>
    <col min="7176" max="7424" width="9.140625" style="44"/>
    <col min="7425" max="7425" width="37.28515625" style="44" customWidth="1"/>
    <col min="7426" max="7426" width="18.42578125" style="44" bestFit="1" customWidth="1"/>
    <col min="7427" max="7430" width="12.42578125" style="44" bestFit="1" customWidth="1"/>
    <col min="7431" max="7431" width="11.7109375" style="44" bestFit="1" customWidth="1"/>
    <col min="7432" max="7680" width="9.140625" style="44"/>
    <col min="7681" max="7681" width="37.28515625" style="44" customWidth="1"/>
    <col min="7682" max="7682" width="18.42578125" style="44" bestFit="1" customWidth="1"/>
    <col min="7683" max="7686" width="12.42578125" style="44" bestFit="1" customWidth="1"/>
    <col min="7687" max="7687" width="11.7109375" style="44" bestFit="1" customWidth="1"/>
    <col min="7688" max="7936" width="9.140625" style="44"/>
    <col min="7937" max="7937" width="37.28515625" style="44" customWidth="1"/>
    <col min="7938" max="7938" width="18.42578125" style="44" bestFit="1" customWidth="1"/>
    <col min="7939" max="7942" width="12.42578125" style="44" bestFit="1" customWidth="1"/>
    <col min="7943" max="7943" width="11.7109375" style="44" bestFit="1" customWidth="1"/>
    <col min="7944" max="8192" width="9.140625" style="44"/>
    <col min="8193" max="8193" width="37.28515625" style="44" customWidth="1"/>
    <col min="8194" max="8194" width="18.42578125" style="44" bestFit="1" customWidth="1"/>
    <col min="8195" max="8198" width="12.42578125" style="44" bestFit="1" customWidth="1"/>
    <col min="8199" max="8199" width="11.7109375" style="44" bestFit="1" customWidth="1"/>
    <col min="8200" max="8448" width="9.140625" style="44"/>
    <col min="8449" max="8449" width="37.28515625" style="44" customWidth="1"/>
    <col min="8450" max="8450" width="18.42578125" style="44" bestFit="1" customWidth="1"/>
    <col min="8451" max="8454" width="12.42578125" style="44" bestFit="1" customWidth="1"/>
    <col min="8455" max="8455" width="11.7109375" style="44" bestFit="1" customWidth="1"/>
    <col min="8456" max="8704" width="9.140625" style="44"/>
    <col min="8705" max="8705" width="37.28515625" style="44" customWidth="1"/>
    <col min="8706" max="8706" width="18.42578125" style="44" bestFit="1" customWidth="1"/>
    <col min="8707" max="8710" width="12.42578125" style="44" bestFit="1" customWidth="1"/>
    <col min="8711" max="8711" width="11.7109375" style="44" bestFit="1" customWidth="1"/>
    <col min="8712" max="8960" width="9.140625" style="44"/>
    <col min="8961" max="8961" width="37.28515625" style="44" customWidth="1"/>
    <col min="8962" max="8962" width="18.42578125" style="44" bestFit="1" customWidth="1"/>
    <col min="8963" max="8966" width="12.42578125" style="44" bestFit="1" customWidth="1"/>
    <col min="8967" max="8967" width="11.7109375" style="44" bestFit="1" customWidth="1"/>
    <col min="8968" max="9216" width="9.140625" style="44"/>
    <col min="9217" max="9217" width="37.28515625" style="44" customWidth="1"/>
    <col min="9218" max="9218" width="18.42578125" style="44" bestFit="1" customWidth="1"/>
    <col min="9219" max="9222" width="12.42578125" style="44" bestFit="1" customWidth="1"/>
    <col min="9223" max="9223" width="11.7109375" style="44" bestFit="1" customWidth="1"/>
    <col min="9224" max="9472" width="9.140625" style="44"/>
    <col min="9473" max="9473" width="37.28515625" style="44" customWidth="1"/>
    <col min="9474" max="9474" width="18.42578125" style="44" bestFit="1" customWidth="1"/>
    <col min="9475" max="9478" width="12.42578125" style="44" bestFit="1" customWidth="1"/>
    <col min="9479" max="9479" width="11.7109375" style="44" bestFit="1" customWidth="1"/>
    <col min="9480" max="9728" width="9.140625" style="44"/>
    <col min="9729" max="9729" width="37.28515625" style="44" customWidth="1"/>
    <col min="9730" max="9730" width="18.42578125" style="44" bestFit="1" customWidth="1"/>
    <col min="9731" max="9734" width="12.42578125" style="44" bestFit="1" customWidth="1"/>
    <col min="9735" max="9735" width="11.7109375" style="44" bestFit="1" customWidth="1"/>
    <col min="9736" max="9984" width="9.140625" style="44"/>
    <col min="9985" max="9985" width="37.28515625" style="44" customWidth="1"/>
    <col min="9986" max="9986" width="18.42578125" style="44" bestFit="1" customWidth="1"/>
    <col min="9987" max="9990" width="12.42578125" style="44" bestFit="1" customWidth="1"/>
    <col min="9991" max="9991" width="11.7109375" style="44" bestFit="1" customWidth="1"/>
    <col min="9992" max="10240" width="9.140625" style="44"/>
    <col min="10241" max="10241" width="37.28515625" style="44" customWidth="1"/>
    <col min="10242" max="10242" width="18.42578125" style="44" bestFit="1" customWidth="1"/>
    <col min="10243" max="10246" width="12.42578125" style="44" bestFit="1" customWidth="1"/>
    <col min="10247" max="10247" width="11.7109375" style="44" bestFit="1" customWidth="1"/>
    <col min="10248" max="10496" width="9.140625" style="44"/>
    <col min="10497" max="10497" width="37.28515625" style="44" customWidth="1"/>
    <col min="10498" max="10498" width="18.42578125" style="44" bestFit="1" customWidth="1"/>
    <col min="10499" max="10502" width="12.42578125" style="44" bestFit="1" customWidth="1"/>
    <col min="10503" max="10503" width="11.7109375" style="44" bestFit="1" customWidth="1"/>
    <col min="10504" max="10752" width="9.140625" style="44"/>
    <col min="10753" max="10753" width="37.28515625" style="44" customWidth="1"/>
    <col min="10754" max="10754" width="18.42578125" style="44" bestFit="1" customWidth="1"/>
    <col min="10755" max="10758" width="12.42578125" style="44" bestFit="1" customWidth="1"/>
    <col min="10759" max="10759" width="11.7109375" style="44" bestFit="1" customWidth="1"/>
    <col min="10760" max="11008" width="9.140625" style="44"/>
    <col min="11009" max="11009" width="37.28515625" style="44" customWidth="1"/>
    <col min="11010" max="11010" width="18.42578125" style="44" bestFit="1" customWidth="1"/>
    <col min="11011" max="11014" width="12.42578125" style="44" bestFit="1" customWidth="1"/>
    <col min="11015" max="11015" width="11.7109375" style="44" bestFit="1" customWidth="1"/>
    <col min="11016" max="11264" width="9.140625" style="44"/>
    <col min="11265" max="11265" width="37.28515625" style="44" customWidth="1"/>
    <col min="11266" max="11266" width="18.42578125" style="44" bestFit="1" customWidth="1"/>
    <col min="11267" max="11270" width="12.42578125" style="44" bestFit="1" customWidth="1"/>
    <col min="11271" max="11271" width="11.7109375" style="44" bestFit="1" customWidth="1"/>
    <col min="11272" max="11520" width="9.140625" style="44"/>
    <col min="11521" max="11521" width="37.28515625" style="44" customWidth="1"/>
    <col min="11522" max="11522" width="18.42578125" style="44" bestFit="1" customWidth="1"/>
    <col min="11523" max="11526" width="12.42578125" style="44" bestFit="1" customWidth="1"/>
    <col min="11527" max="11527" width="11.7109375" style="44" bestFit="1" customWidth="1"/>
    <col min="11528" max="11776" width="9.140625" style="44"/>
    <col min="11777" max="11777" width="37.28515625" style="44" customWidth="1"/>
    <col min="11778" max="11778" width="18.42578125" style="44" bestFit="1" customWidth="1"/>
    <col min="11779" max="11782" width="12.42578125" style="44" bestFit="1" customWidth="1"/>
    <col min="11783" max="11783" width="11.7109375" style="44" bestFit="1" customWidth="1"/>
    <col min="11784" max="12032" width="9.140625" style="44"/>
    <col min="12033" max="12033" width="37.28515625" style="44" customWidth="1"/>
    <col min="12034" max="12034" width="18.42578125" style="44" bestFit="1" customWidth="1"/>
    <col min="12035" max="12038" width="12.42578125" style="44" bestFit="1" customWidth="1"/>
    <col min="12039" max="12039" width="11.7109375" style="44" bestFit="1" customWidth="1"/>
    <col min="12040" max="12288" width="9.140625" style="44"/>
    <col min="12289" max="12289" width="37.28515625" style="44" customWidth="1"/>
    <col min="12290" max="12290" width="18.42578125" style="44" bestFit="1" customWidth="1"/>
    <col min="12291" max="12294" width="12.42578125" style="44" bestFit="1" customWidth="1"/>
    <col min="12295" max="12295" width="11.7109375" style="44" bestFit="1" customWidth="1"/>
    <col min="12296" max="12544" width="9.140625" style="44"/>
    <col min="12545" max="12545" width="37.28515625" style="44" customWidth="1"/>
    <col min="12546" max="12546" width="18.42578125" style="44" bestFit="1" customWidth="1"/>
    <col min="12547" max="12550" width="12.42578125" style="44" bestFit="1" customWidth="1"/>
    <col min="12551" max="12551" width="11.7109375" style="44" bestFit="1" customWidth="1"/>
    <col min="12552" max="12800" width="9.140625" style="44"/>
    <col min="12801" max="12801" width="37.28515625" style="44" customWidth="1"/>
    <col min="12802" max="12802" width="18.42578125" style="44" bestFit="1" customWidth="1"/>
    <col min="12803" max="12806" width="12.42578125" style="44" bestFit="1" customWidth="1"/>
    <col min="12807" max="12807" width="11.7109375" style="44" bestFit="1" customWidth="1"/>
    <col min="12808" max="13056" width="9.140625" style="44"/>
    <col min="13057" max="13057" width="37.28515625" style="44" customWidth="1"/>
    <col min="13058" max="13058" width="18.42578125" style="44" bestFit="1" customWidth="1"/>
    <col min="13059" max="13062" width="12.42578125" style="44" bestFit="1" customWidth="1"/>
    <col min="13063" max="13063" width="11.7109375" style="44" bestFit="1" customWidth="1"/>
    <col min="13064" max="13312" width="9.140625" style="44"/>
    <col min="13313" max="13313" width="37.28515625" style="44" customWidth="1"/>
    <col min="13314" max="13314" width="18.42578125" style="44" bestFit="1" customWidth="1"/>
    <col min="13315" max="13318" width="12.42578125" style="44" bestFit="1" customWidth="1"/>
    <col min="13319" max="13319" width="11.7109375" style="44" bestFit="1" customWidth="1"/>
    <col min="13320" max="13568" width="9.140625" style="44"/>
    <col min="13569" max="13569" width="37.28515625" style="44" customWidth="1"/>
    <col min="13570" max="13570" width="18.42578125" style="44" bestFit="1" customWidth="1"/>
    <col min="13571" max="13574" width="12.42578125" style="44" bestFit="1" customWidth="1"/>
    <col min="13575" max="13575" width="11.7109375" style="44" bestFit="1" customWidth="1"/>
    <col min="13576" max="13824" width="9.140625" style="44"/>
    <col min="13825" max="13825" width="37.28515625" style="44" customWidth="1"/>
    <col min="13826" max="13826" width="18.42578125" style="44" bestFit="1" customWidth="1"/>
    <col min="13827" max="13830" width="12.42578125" style="44" bestFit="1" customWidth="1"/>
    <col min="13831" max="13831" width="11.7109375" style="44" bestFit="1" customWidth="1"/>
    <col min="13832" max="14080" width="9.140625" style="44"/>
    <col min="14081" max="14081" width="37.28515625" style="44" customWidth="1"/>
    <col min="14082" max="14082" width="18.42578125" style="44" bestFit="1" customWidth="1"/>
    <col min="14083" max="14086" width="12.42578125" style="44" bestFit="1" customWidth="1"/>
    <col min="14087" max="14087" width="11.7109375" style="44" bestFit="1" customWidth="1"/>
    <col min="14088" max="14336" width="9.140625" style="44"/>
    <col min="14337" max="14337" width="37.28515625" style="44" customWidth="1"/>
    <col min="14338" max="14338" width="18.42578125" style="44" bestFit="1" customWidth="1"/>
    <col min="14339" max="14342" width="12.42578125" style="44" bestFit="1" customWidth="1"/>
    <col min="14343" max="14343" width="11.7109375" style="44" bestFit="1" customWidth="1"/>
    <col min="14344" max="14592" width="9.140625" style="44"/>
    <col min="14593" max="14593" width="37.28515625" style="44" customWidth="1"/>
    <col min="14594" max="14594" width="18.42578125" style="44" bestFit="1" customWidth="1"/>
    <col min="14595" max="14598" width="12.42578125" style="44" bestFit="1" customWidth="1"/>
    <col min="14599" max="14599" width="11.7109375" style="44" bestFit="1" customWidth="1"/>
    <col min="14600" max="14848" width="9.140625" style="44"/>
    <col min="14849" max="14849" width="37.28515625" style="44" customWidth="1"/>
    <col min="14850" max="14850" width="18.42578125" style="44" bestFit="1" customWidth="1"/>
    <col min="14851" max="14854" width="12.42578125" style="44" bestFit="1" customWidth="1"/>
    <col min="14855" max="14855" width="11.7109375" style="44" bestFit="1" customWidth="1"/>
    <col min="14856" max="15104" width="9.140625" style="44"/>
    <col min="15105" max="15105" width="37.28515625" style="44" customWidth="1"/>
    <col min="15106" max="15106" width="18.42578125" style="44" bestFit="1" customWidth="1"/>
    <col min="15107" max="15110" width="12.42578125" style="44" bestFit="1" customWidth="1"/>
    <col min="15111" max="15111" width="11.7109375" style="44" bestFit="1" customWidth="1"/>
    <col min="15112" max="15360" width="9.140625" style="44"/>
    <col min="15361" max="15361" width="37.28515625" style="44" customWidth="1"/>
    <col min="15362" max="15362" width="18.42578125" style="44" bestFit="1" customWidth="1"/>
    <col min="15363" max="15366" width="12.42578125" style="44" bestFit="1" customWidth="1"/>
    <col min="15367" max="15367" width="11.7109375" style="44" bestFit="1" customWidth="1"/>
    <col min="15368" max="15616" width="9.140625" style="44"/>
    <col min="15617" max="15617" width="37.28515625" style="44" customWidth="1"/>
    <col min="15618" max="15618" width="18.42578125" style="44" bestFit="1" customWidth="1"/>
    <col min="15619" max="15622" width="12.42578125" style="44" bestFit="1" customWidth="1"/>
    <col min="15623" max="15623" width="11.7109375" style="44" bestFit="1" customWidth="1"/>
    <col min="15624" max="15872" width="9.140625" style="44"/>
    <col min="15873" max="15873" width="37.28515625" style="44" customWidth="1"/>
    <col min="15874" max="15874" width="18.42578125" style="44" bestFit="1" customWidth="1"/>
    <col min="15875" max="15878" width="12.42578125" style="44" bestFit="1" customWidth="1"/>
    <col min="15879" max="15879" width="11.7109375" style="44" bestFit="1" customWidth="1"/>
    <col min="15880" max="16128" width="9.140625" style="44"/>
    <col min="16129" max="16129" width="37.28515625" style="44" customWidth="1"/>
    <col min="16130" max="16130" width="18.42578125" style="44" bestFit="1" customWidth="1"/>
    <col min="16131" max="16134" width="12.42578125" style="44" bestFit="1" customWidth="1"/>
    <col min="16135" max="16135" width="11.7109375" style="44" bestFit="1" customWidth="1"/>
    <col min="16136" max="16384" width="9.140625" style="44"/>
  </cols>
  <sheetData>
    <row r="1" spans="1:18">
      <c r="A1" s="382"/>
      <c r="B1" s="382"/>
      <c r="C1" s="382"/>
      <c r="D1" s="382"/>
      <c r="E1" s="382"/>
      <c r="F1" s="382"/>
    </row>
    <row r="2" spans="1:18" ht="18.75">
      <c r="A2" s="400" t="s">
        <v>564</v>
      </c>
      <c r="B2" s="368"/>
      <c r="C2" s="368"/>
      <c r="D2" s="368"/>
      <c r="E2" s="368"/>
      <c r="F2" s="368"/>
      <c r="G2" s="368"/>
      <c r="H2" s="368"/>
      <c r="I2" s="5"/>
    </row>
    <row r="3" spans="1:18">
      <c r="A3" s="67"/>
      <c r="B3" s="45"/>
      <c r="C3" s="45"/>
      <c r="D3" s="45"/>
      <c r="E3" s="45"/>
      <c r="F3" s="45"/>
    </row>
    <row r="4" spans="1:18">
      <c r="A4" s="95" t="s">
        <v>0</v>
      </c>
      <c r="B4" s="96" t="s">
        <v>2</v>
      </c>
      <c r="C4" s="96" t="s">
        <v>3</v>
      </c>
      <c r="D4" s="96" t="s">
        <v>4</v>
      </c>
      <c r="E4" s="96" t="s">
        <v>5</v>
      </c>
      <c r="F4" s="96" t="s">
        <v>6</v>
      </c>
      <c r="G4" s="97" t="s">
        <v>168</v>
      </c>
      <c r="H4" s="97" t="s">
        <v>167</v>
      </c>
    </row>
    <row r="5" spans="1:18">
      <c r="A5" s="98"/>
      <c r="B5" s="99"/>
      <c r="C5" s="100"/>
      <c r="D5" s="100"/>
      <c r="E5" s="100"/>
      <c r="F5" s="100"/>
      <c r="G5" s="100"/>
      <c r="H5" s="100"/>
    </row>
    <row r="6" spans="1:18">
      <c r="A6" s="101" t="s">
        <v>49</v>
      </c>
      <c r="B6" s="102"/>
      <c r="C6" s="102"/>
      <c r="D6" s="102"/>
      <c r="E6" s="102"/>
      <c r="F6" s="102"/>
      <c r="G6" s="102"/>
      <c r="H6" s="102"/>
    </row>
    <row r="7" spans="1:18">
      <c r="A7" s="103" t="s">
        <v>50</v>
      </c>
      <c r="B7" s="104"/>
      <c r="C7" s="104"/>
      <c r="D7" s="104"/>
      <c r="E7" s="104"/>
      <c r="F7" s="104"/>
      <c r="G7" s="104"/>
      <c r="H7" s="104"/>
    </row>
    <row r="8" spans="1:18">
      <c r="A8" s="105" t="s">
        <v>246</v>
      </c>
      <c r="B8" s="106">
        <f>'8.Cash Flow '!C36</f>
        <v>1235947.3183668256</v>
      </c>
      <c r="C8" s="106">
        <f>'8.Cash Flow '!D36</f>
        <v>4341682.0882883966</v>
      </c>
      <c r="D8" s="106">
        <f>'8.Cash Flow '!E36</f>
        <v>7213990.3111435026</v>
      </c>
      <c r="E8" s="106">
        <f>'8.Cash Flow '!F36</f>
        <v>10704631.392765626</v>
      </c>
      <c r="F8" s="106">
        <f>'8.Cash Flow '!G36</f>
        <v>14985314.682787642</v>
      </c>
      <c r="G8" s="106">
        <f>'8.Cash Flow '!H36</f>
        <v>19963244.674359664</v>
      </c>
      <c r="H8" s="106">
        <f>'8.Cash Flow '!I36</f>
        <v>25663167.679342911</v>
      </c>
      <c r="K8" s="54"/>
      <c r="L8" s="54"/>
      <c r="M8" s="54"/>
      <c r="N8" s="54"/>
      <c r="O8" s="54"/>
      <c r="P8" s="54"/>
      <c r="Q8" s="54"/>
      <c r="R8" s="54"/>
    </row>
    <row r="9" spans="1:18">
      <c r="A9" s="107" t="s">
        <v>247</v>
      </c>
      <c r="B9" s="108">
        <f>'5.Closing Stock &amp; W Capital'!E42</f>
        <v>3274838.2808404034</v>
      </c>
      <c r="C9" s="108">
        <f>'5.Closing Stock &amp; W Capital'!F42</f>
        <v>4100842.1784802345</v>
      </c>
      <c r="D9" s="108">
        <f>'5.Closing Stock &amp; W Capital'!G42</f>
        <v>4837299.8686761102</v>
      </c>
      <c r="E9" s="108">
        <f>'5.Closing Stock &amp; W Capital'!H42</f>
        <v>5356209.7631880278</v>
      </c>
      <c r="F9" s="108">
        <f>'5.Closing Stock &amp; W Capital'!I42</f>
        <v>5874561.0514689861</v>
      </c>
      <c r="G9" s="108">
        <f>'5.Closing Stock &amp; W Capital'!J42</f>
        <v>6390691.3448841916</v>
      </c>
      <c r="H9" s="108">
        <f>'5.Closing Stock &amp; W Capital'!K42</f>
        <v>6906902.0132966582</v>
      </c>
      <c r="K9" s="54"/>
      <c r="L9" s="54"/>
      <c r="M9" s="54"/>
      <c r="N9" s="54"/>
      <c r="O9" s="54"/>
      <c r="P9" s="54"/>
      <c r="Q9" s="54"/>
      <c r="R9" s="54"/>
    </row>
    <row r="10" spans="1:18">
      <c r="A10" s="107" t="s">
        <v>602</v>
      </c>
      <c r="B10" s="108">
        <f>'5.Closing Stock &amp; W Capital'!E21</f>
        <v>4075337.9373603752</v>
      </c>
      <c r="C10" s="108">
        <f>'5.Closing Stock &amp; W Capital'!F21</f>
        <v>4862572.6228221245</v>
      </c>
      <c r="D10" s="108">
        <f>'5.Closing Stock &amp; W Capital'!G21</f>
        <v>5708841.731681251</v>
      </c>
      <c r="E10" s="108">
        <f>'5.Closing Stock &amp; W Capital'!H21</f>
        <v>6299185.9656549999</v>
      </c>
      <c r="F10" s="108">
        <f>'5.Closing Stock &amp; W Capital'!I21</f>
        <v>6889530.1996287508</v>
      </c>
      <c r="G10" s="108">
        <f>'5.Closing Stock &amp; W Capital'!J21</f>
        <v>7479874.4336025016</v>
      </c>
      <c r="H10" s="108">
        <f>'5.Closing Stock &amp; W Capital'!K21</f>
        <v>8070218.6675762516</v>
      </c>
      <c r="K10" s="54"/>
      <c r="L10" s="54"/>
      <c r="M10" s="54"/>
      <c r="N10" s="54"/>
      <c r="O10" s="54"/>
      <c r="P10" s="54"/>
      <c r="Q10" s="54"/>
      <c r="R10" s="54"/>
    </row>
    <row r="11" spans="1:18">
      <c r="A11" s="103" t="s">
        <v>248</v>
      </c>
      <c r="B11" s="106">
        <f t="shared" ref="B11:H11" si="0">SUM(B8:B10)</f>
        <v>8586123.5365676042</v>
      </c>
      <c r="C11" s="106">
        <f t="shared" si="0"/>
        <v>13305096.889590755</v>
      </c>
      <c r="D11" s="106">
        <f t="shared" si="0"/>
        <v>17760131.911500864</v>
      </c>
      <c r="E11" s="106">
        <f t="shared" si="0"/>
        <v>22360027.121608652</v>
      </c>
      <c r="F11" s="106">
        <f t="shared" si="0"/>
        <v>27749405.933885381</v>
      </c>
      <c r="G11" s="106">
        <f t="shared" si="0"/>
        <v>33833810.452846356</v>
      </c>
      <c r="H11" s="106">
        <f t="shared" si="0"/>
        <v>40640288.36021582</v>
      </c>
    </row>
    <row r="12" spans="1:18">
      <c r="A12" s="103"/>
      <c r="B12" s="108"/>
      <c r="C12" s="108"/>
      <c r="D12" s="108"/>
      <c r="E12" s="108"/>
      <c r="F12" s="108"/>
      <c r="G12" s="108"/>
      <c r="H12" s="108"/>
      <c r="J12" s="54"/>
      <c r="K12" s="54"/>
      <c r="L12" s="54"/>
      <c r="M12" s="54"/>
      <c r="N12" s="54"/>
      <c r="O12" s="54"/>
      <c r="P12" s="54"/>
      <c r="Q12" s="54"/>
    </row>
    <row r="13" spans="1:18">
      <c r="A13" s="109" t="s">
        <v>249</v>
      </c>
      <c r="B13" s="108">
        <f>'3.Other Exp &amp; Taxes'!C65</f>
        <v>23592307.994199999</v>
      </c>
      <c r="C13" s="108">
        <f>'3.Other Exp &amp; Taxes'!D65</f>
        <v>22513792.530783858</v>
      </c>
      <c r="D13" s="108">
        <f>'3.Other Exp &amp; Taxes'!E65</f>
        <v>21435277.067367718</v>
      </c>
      <c r="E13" s="108">
        <f>'3.Other Exp &amp; Taxes'!F65</f>
        <v>20356761.603951577</v>
      </c>
      <c r="F13" s="108">
        <f>'3.Other Exp &amp; Taxes'!G65</f>
        <v>19278246.140535437</v>
      </c>
      <c r="G13" s="108">
        <f>'3.Other Exp &amp; Taxes'!H65</f>
        <v>18199730.677119296</v>
      </c>
      <c r="H13" s="108">
        <f>'3.Other Exp &amp; Taxes'!I65</f>
        <v>17121215.213703156</v>
      </c>
    </row>
    <row r="14" spans="1:18">
      <c r="A14" s="109" t="s">
        <v>250</v>
      </c>
      <c r="B14" s="108">
        <f>'3.Other Exp &amp; Taxes'!C66</f>
        <v>1078515.4634161398</v>
      </c>
      <c r="C14" s="108">
        <f>'3.Other Exp &amp; Taxes'!D66</f>
        <v>1078515.4634161398</v>
      </c>
      <c r="D14" s="108">
        <f>'3.Other Exp &amp; Taxes'!E66</f>
        <v>1078515.4634161398</v>
      </c>
      <c r="E14" s="108">
        <f>'3.Other Exp &amp; Taxes'!F66</f>
        <v>1078515.4634161398</v>
      </c>
      <c r="F14" s="108">
        <f>'3.Other Exp &amp; Taxes'!G66</f>
        <v>1078515.4634161398</v>
      </c>
      <c r="G14" s="108">
        <f>'3.Other Exp &amp; Taxes'!H66</f>
        <v>1078515.4634161398</v>
      </c>
      <c r="H14" s="108">
        <f>'3.Other Exp &amp; Taxes'!I66</f>
        <v>1078515.4634161398</v>
      </c>
      <c r="K14" s="54"/>
      <c r="L14" s="54"/>
      <c r="M14" s="54"/>
      <c r="N14" s="54"/>
      <c r="O14" s="54"/>
      <c r="P14" s="54"/>
      <c r="Q14" s="54"/>
    </row>
    <row r="15" spans="1:18" s="45" customFormat="1">
      <c r="A15" s="103" t="s">
        <v>197</v>
      </c>
      <c r="B15" s="106">
        <f t="shared" ref="B15:H15" si="1">B13-B14</f>
        <v>22513792.530783858</v>
      </c>
      <c r="C15" s="106">
        <f t="shared" si="1"/>
        <v>21435277.067367718</v>
      </c>
      <c r="D15" s="106">
        <f t="shared" si="1"/>
        <v>20356761.603951577</v>
      </c>
      <c r="E15" s="106">
        <f t="shared" si="1"/>
        <v>19278246.140535437</v>
      </c>
      <c r="F15" s="106">
        <f t="shared" si="1"/>
        <v>18199730.677119296</v>
      </c>
      <c r="G15" s="106">
        <f t="shared" si="1"/>
        <v>17121215.213703156</v>
      </c>
      <c r="H15" s="106">
        <f t="shared" si="1"/>
        <v>16042699.750287015</v>
      </c>
    </row>
    <row r="16" spans="1:18" s="45" customFormat="1">
      <c r="A16" s="103"/>
      <c r="B16" s="106"/>
      <c r="C16" s="106"/>
      <c r="D16" s="106"/>
      <c r="E16" s="106"/>
      <c r="F16" s="106"/>
      <c r="G16" s="106"/>
      <c r="H16" s="106"/>
    </row>
    <row r="17" spans="1:8" s="45" customFormat="1">
      <c r="A17" s="110"/>
      <c r="B17" s="106"/>
      <c r="C17" s="106"/>
      <c r="D17" s="106"/>
      <c r="E17" s="106"/>
      <c r="F17" s="106"/>
      <c r="G17" s="106"/>
      <c r="H17" s="106"/>
    </row>
    <row r="18" spans="1:8" s="45" customFormat="1">
      <c r="A18" s="103" t="s">
        <v>514</v>
      </c>
      <c r="B18" s="106">
        <f>'8.Cash Flow '!C21-'6.Cons Profit &amp; Loss'!B43</f>
        <v>598916.80000000005</v>
      </c>
      <c r="C18" s="106">
        <f>B18-'6.Cons Profit &amp; Loss'!C43</f>
        <v>449187.60000000003</v>
      </c>
      <c r="D18" s="106">
        <f>C18-'6.Cons Profit &amp; Loss'!D43</f>
        <v>299458.40000000002</v>
      </c>
      <c r="E18" s="106">
        <f>D18-'6.Cons Profit &amp; Loss'!E43</f>
        <v>149729.20000000001</v>
      </c>
      <c r="F18" s="106">
        <f>E18-'6.Cons Profit &amp; Loss'!F43</f>
        <v>0</v>
      </c>
      <c r="G18" s="106">
        <f>F18-'6.Cons Profit &amp; Loss'!G43</f>
        <v>0</v>
      </c>
      <c r="H18" s="106">
        <f>G18-'6.Cons Profit &amp; Loss'!H43</f>
        <v>0</v>
      </c>
    </row>
    <row r="19" spans="1:8">
      <c r="A19" s="109"/>
      <c r="B19" s="108"/>
      <c r="C19" s="108"/>
      <c r="D19" s="108"/>
      <c r="E19" s="108"/>
      <c r="F19" s="108"/>
      <c r="G19" s="108"/>
      <c r="H19" s="108"/>
    </row>
    <row r="20" spans="1:8">
      <c r="A20" s="110" t="s">
        <v>252</v>
      </c>
      <c r="B20" s="111">
        <f t="shared" ref="B20:H20" si="2">B11+B15+B17+B18</f>
        <v>31698832.867351461</v>
      </c>
      <c r="C20" s="111">
        <f t="shared" si="2"/>
        <v>35189561.556958474</v>
      </c>
      <c r="D20" s="111">
        <f t="shared" si="2"/>
        <v>38416351.915452443</v>
      </c>
      <c r="E20" s="111">
        <f t="shared" si="2"/>
        <v>41788002.462144092</v>
      </c>
      <c r="F20" s="111">
        <f t="shared" si="2"/>
        <v>45949136.61100468</v>
      </c>
      <c r="G20" s="111">
        <f t="shared" si="2"/>
        <v>50955025.666549511</v>
      </c>
      <c r="H20" s="111">
        <f t="shared" si="2"/>
        <v>56682988.110502839</v>
      </c>
    </row>
    <row r="21" spans="1:8">
      <c r="A21" s="98"/>
      <c r="B21" s="112"/>
      <c r="C21" s="112"/>
      <c r="D21" s="112"/>
      <c r="E21" s="112"/>
      <c r="F21" s="112"/>
      <c r="G21" s="112"/>
      <c r="H21" s="112"/>
    </row>
    <row r="22" spans="1:8">
      <c r="A22" s="101" t="s">
        <v>253</v>
      </c>
      <c r="B22" s="113"/>
      <c r="C22" s="113"/>
      <c r="D22" s="113"/>
      <c r="E22" s="113"/>
      <c r="F22" s="113"/>
      <c r="G22" s="113"/>
      <c r="H22" s="113"/>
    </row>
    <row r="23" spans="1:8">
      <c r="A23" s="103" t="s">
        <v>254</v>
      </c>
      <c r="B23" s="113"/>
      <c r="C23" s="113"/>
      <c r="D23" s="113"/>
      <c r="E23" s="113"/>
      <c r="F23" s="113"/>
      <c r="G23" s="113"/>
      <c r="H23" s="113"/>
    </row>
    <row r="24" spans="1:8">
      <c r="A24" s="107" t="s">
        <v>255</v>
      </c>
      <c r="B24" s="106">
        <f>'5.Closing Stock &amp; W Capital'!E56-'5.Closing Stock &amp; W Capital'!E57</f>
        <v>4333543.1679715719</v>
      </c>
      <c r="C24" s="106">
        <f>'5.Closing Stock &amp; W Capital'!F56-'5.Closing Stock &amp; W Capital'!F57</f>
        <v>7088844.4802198997</v>
      </c>
      <c r="D24" s="106">
        <f>'5.Closing Stock &amp; W Capital'!G56-'5.Closing Stock &amp; W Capital'!G57</f>
        <v>8346476.2786166072</v>
      </c>
      <c r="E24" s="106">
        <f>'5.Closing Stock &amp; W Capital'!H56-'5.Closing Stock &amp; W Capital'!H57</f>
        <v>9229297.002290424</v>
      </c>
      <c r="F24" s="106">
        <f>'5.Closing Stock &amp; W Capital'!I56-'5.Closing Stock &amp; W Capital'!I57</f>
        <v>10111559.119733285</v>
      </c>
      <c r="G24" s="106">
        <f>'5.Closing Stock &amp; W Capital'!J56-'5.Closing Stock &amp; W Capital'!J57</f>
        <v>10991600.242310392</v>
      </c>
      <c r="H24" s="106">
        <f>'5.Closing Stock &amp; W Capital'!K56-'5.Closing Stock &amp; W Capital'!K57</f>
        <v>11871721.739884758</v>
      </c>
    </row>
    <row r="25" spans="1:8">
      <c r="A25" s="107" t="s">
        <v>256</v>
      </c>
      <c r="B25" s="112">
        <f>'5.Closing Stock &amp; W Capital'!E55</f>
        <v>1572118.6609053493</v>
      </c>
      <c r="C25" s="112">
        <f>'5.Closing Stock &amp; W Capital'!F55</f>
        <v>1874570.3210824591</v>
      </c>
      <c r="D25" s="112">
        <f>'5.Closing Stock &amp; W Capital'!G55</f>
        <v>2199665.3217407539</v>
      </c>
      <c r="E25" s="112">
        <f>'5.Closing Stock &amp; W Capital'!H55</f>
        <v>2426098.7265526028</v>
      </c>
      <c r="F25" s="112">
        <f>'5.Closing Stock &amp; W Capital'!I55</f>
        <v>2652532.1313644522</v>
      </c>
      <c r="G25" s="112">
        <f>'5.Closing Stock &amp; W Capital'!J55</f>
        <v>2878965.536176302</v>
      </c>
      <c r="H25" s="112">
        <f>'5.Closing Stock &amp; W Capital'!K55</f>
        <v>3105398.9409881514</v>
      </c>
    </row>
    <row r="26" spans="1:8">
      <c r="A26" s="107" t="s">
        <v>257</v>
      </c>
      <c r="B26" s="106"/>
      <c r="C26" s="106"/>
      <c r="D26" s="106"/>
      <c r="E26" s="106"/>
      <c r="F26" s="106"/>
      <c r="G26" s="106"/>
      <c r="H26" s="106"/>
    </row>
    <row r="27" spans="1:8">
      <c r="A27" s="103" t="s">
        <v>258</v>
      </c>
      <c r="B27" s="111">
        <f t="shared" ref="B27:H27" si="3">SUM(B24:B26)</f>
        <v>5905661.828876921</v>
      </c>
      <c r="C27" s="111">
        <f t="shared" si="3"/>
        <v>8963414.8013023585</v>
      </c>
      <c r="D27" s="111">
        <f t="shared" si="3"/>
        <v>10546141.600357361</v>
      </c>
      <c r="E27" s="111">
        <f t="shared" si="3"/>
        <v>11655395.728843026</v>
      </c>
      <c r="F27" s="111">
        <f t="shared" si="3"/>
        <v>12764091.251097737</v>
      </c>
      <c r="G27" s="111">
        <f t="shared" si="3"/>
        <v>13870565.778486693</v>
      </c>
      <c r="H27" s="111">
        <f t="shared" si="3"/>
        <v>14977120.68087291</v>
      </c>
    </row>
    <row r="28" spans="1:8">
      <c r="A28" s="103" t="s">
        <v>259</v>
      </c>
      <c r="B28" s="111">
        <f>'4.TL repayment sch'!G21</f>
        <v>6490675.9714007303</v>
      </c>
      <c r="C28" s="111">
        <f>'4.TL repayment sch'!G33</f>
        <v>4660506.8007823657</v>
      </c>
      <c r="D28" s="111">
        <f>'4.TL repayment sch'!G45</f>
        <v>2515052.9261927907</v>
      </c>
      <c r="E28" s="111">
        <f>'4.TL repayment sch'!G57</f>
        <v>7.2323018684983253E-8</v>
      </c>
      <c r="F28" s="111">
        <f>'4.TL repayment sch'!G69</f>
        <v>-2948323.1014511869</v>
      </c>
      <c r="G28" s="111">
        <f>'4.TL repayment sch'!G81</f>
        <v>-6404556.1771145388</v>
      </c>
      <c r="H28" s="111">
        <f>'[1]Term Loan'!J72+'[1]Term Loan'!S72</f>
        <v>0</v>
      </c>
    </row>
    <row r="29" spans="1:8">
      <c r="A29" s="103" t="s">
        <v>260</v>
      </c>
      <c r="B29" s="111"/>
      <c r="C29" s="111"/>
      <c r="D29" s="111"/>
      <c r="E29" s="111"/>
      <c r="F29" s="111"/>
      <c r="G29" s="111"/>
      <c r="H29" s="111"/>
    </row>
    <row r="30" spans="1:8">
      <c r="A30" s="103"/>
      <c r="B30" s="114"/>
      <c r="C30" s="114"/>
      <c r="D30" s="114"/>
      <c r="E30" s="114"/>
      <c r="F30" s="114"/>
      <c r="G30" s="114"/>
      <c r="H30" s="114"/>
    </row>
    <row r="31" spans="1:8">
      <c r="A31" s="110" t="s">
        <v>261</v>
      </c>
      <c r="B31" s="111">
        <f t="shared" ref="B31:H31" si="4">SUM(B27:B29)</f>
        <v>12396337.80027765</v>
      </c>
      <c r="C31" s="111">
        <f t="shared" si="4"/>
        <v>13623921.602084724</v>
      </c>
      <c r="D31" s="111">
        <f t="shared" si="4"/>
        <v>13061194.526550151</v>
      </c>
      <c r="E31" s="111">
        <f t="shared" si="4"/>
        <v>11655395.728843099</v>
      </c>
      <c r="F31" s="111">
        <f t="shared" si="4"/>
        <v>9815768.1496465504</v>
      </c>
      <c r="G31" s="111">
        <f t="shared" si="4"/>
        <v>7466009.6013721544</v>
      </c>
      <c r="H31" s="111">
        <f t="shared" si="4"/>
        <v>14977120.68087291</v>
      </c>
    </row>
    <row r="32" spans="1:8">
      <c r="A32" s="98"/>
      <c r="B32" s="115"/>
      <c r="C32" s="115"/>
      <c r="D32" s="115"/>
      <c r="E32" s="115"/>
      <c r="F32" s="115"/>
      <c r="G32" s="115"/>
      <c r="H32" s="115"/>
    </row>
    <row r="33" spans="1:8">
      <c r="A33" s="109" t="s">
        <v>262</v>
      </c>
      <c r="B33" s="108">
        <f>'1.Project Cost and MOF'!E21</f>
        <v>3878609.7887438573</v>
      </c>
      <c r="C33" s="108">
        <f>B33</f>
        <v>3878609.7887438573</v>
      </c>
      <c r="D33" s="108">
        <f t="shared" ref="D33:H34" si="5">C33</f>
        <v>3878609.7887438573</v>
      </c>
      <c r="E33" s="108">
        <f t="shared" si="5"/>
        <v>3878609.7887438573</v>
      </c>
      <c r="F33" s="108">
        <f t="shared" si="5"/>
        <v>3878609.7887438573</v>
      </c>
      <c r="G33" s="108">
        <f t="shared" si="5"/>
        <v>3878609.7887438573</v>
      </c>
      <c r="H33" s="108">
        <f t="shared" si="5"/>
        <v>3878609.7887438573</v>
      </c>
    </row>
    <row r="34" spans="1:8">
      <c r="A34" s="109" t="s">
        <v>515</v>
      </c>
      <c r="B34" s="108">
        <f>'1.Project Cost and MOF'!E19</f>
        <v>14604572.396519998</v>
      </c>
      <c r="C34" s="108">
        <f>B34</f>
        <v>14604572.396519998</v>
      </c>
      <c r="D34" s="108">
        <f t="shared" si="5"/>
        <v>14604572.396519998</v>
      </c>
      <c r="E34" s="108">
        <f t="shared" si="5"/>
        <v>14604572.396519998</v>
      </c>
      <c r="F34" s="108">
        <f t="shared" si="5"/>
        <v>14604572.396519998</v>
      </c>
      <c r="G34" s="108">
        <f t="shared" si="5"/>
        <v>14604572.396519998</v>
      </c>
      <c r="H34" s="108">
        <f t="shared" si="5"/>
        <v>14604572.396519998</v>
      </c>
    </row>
    <row r="35" spans="1:8">
      <c r="A35" s="103" t="s">
        <v>263</v>
      </c>
      <c r="B35" s="108"/>
      <c r="C35" s="108"/>
      <c r="D35" s="108"/>
      <c r="E35" s="108"/>
      <c r="F35" s="108"/>
      <c r="G35" s="108"/>
      <c r="H35" s="108"/>
    </row>
    <row r="36" spans="1:8">
      <c r="A36" s="109" t="s">
        <v>264</v>
      </c>
      <c r="B36" s="108">
        <v>0</v>
      </c>
      <c r="C36" s="108">
        <f t="shared" ref="C36:H36" si="6">B39</f>
        <v>819312.8818099607</v>
      </c>
      <c r="D36" s="108">
        <f t="shared" si="6"/>
        <v>3082457.7696098862</v>
      </c>
      <c r="E36" s="108">
        <f t="shared" si="6"/>
        <v>6871975.20363844</v>
      </c>
      <c r="F36" s="108">
        <f t="shared" si="6"/>
        <v>11649424.548037091</v>
      </c>
      <c r="G36" s="108">
        <f t="shared" si="6"/>
        <v>17650186.276094213</v>
      </c>
      <c r="H36" s="108">
        <f t="shared" si="6"/>
        <v>25005833.879913457</v>
      </c>
    </row>
    <row r="37" spans="1:8">
      <c r="A37" s="109" t="s">
        <v>265</v>
      </c>
      <c r="B37" s="108">
        <f>'6.Cons Profit &amp; Loss'!B53</f>
        <v>819312.8818099607</v>
      </c>
      <c r="C37" s="108">
        <f>'6.Cons Profit &amp; Loss'!C51</f>
        <v>2263144.8877999256</v>
      </c>
      <c r="D37" s="108">
        <f>'6.Cons Profit &amp; Loss'!D51</f>
        <v>3789517.4340285533</v>
      </c>
      <c r="E37" s="108">
        <f>'6.Cons Profit &amp; Loss'!E51</f>
        <v>4777449.3443986513</v>
      </c>
      <c r="F37" s="108">
        <f>'6.Cons Profit &amp; Loss'!F51</f>
        <v>6000761.72805712</v>
      </c>
      <c r="G37" s="108">
        <f>'6.Cons Profit &amp; Loss'!G51</f>
        <v>7355647.6038192455</v>
      </c>
      <c r="H37" s="108">
        <f>'6.Cons Profit &amp; Loss'!H51</f>
        <v>8673048.6481437236</v>
      </c>
    </row>
    <row r="38" spans="1:8">
      <c r="A38" s="109" t="s">
        <v>266</v>
      </c>
      <c r="B38" s="108"/>
      <c r="C38" s="108"/>
      <c r="D38" s="108"/>
      <c r="E38" s="108"/>
      <c r="F38" s="108"/>
      <c r="G38" s="108"/>
      <c r="H38" s="108"/>
    </row>
    <row r="39" spans="1:8">
      <c r="A39" s="109" t="s">
        <v>267</v>
      </c>
      <c r="B39" s="108">
        <f t="shared" ref="B39:H39" si="7">B36+B37-B38</f>
        <v>819312.8818099607</v>
      </c>
      <c r="C39" s="108">
        <f t="shared" si="7"/>
        <v>3082457.7696098862</v>
      </c>
      <c r="D39" s="108">
        <f t="shared" si="7"/>
        <v>6871975.20363844</v>
      </c>
      <c r="E39" s="108">
        <f t="shared" si="7"/>
        <v>11649424.548037091</v>
      </c>
      <c r="F39" s="108">
        <f t="shared" si="7"/>
        <v>17650186.276094213</v>
      </c>
      <c r="G39" s="108">
        <f t="shared" si="7"/>
        <v>25005833.879913457</v>
      </c>
      <c r="H39" s="108">
        <f t="shared" si="7"/>
        <v>33678882.52805718</v>
      </c>
    </row>
    <row r="40" spans="1:8">
      <c r="A40" s="109"/>
      <c r="B40" s="113"/>
      <c r="C40" s="113"/>
      <c r="D40" s="113"/>
      <c r="E40" s="113"/>
      <c r="F40" s="113"/>
      <c r="G40" s="113"/>
      <c r="H40" s="113"/>
    </row>
    <row r="41" spans="1:8">
      <c r="A41" s="116" t="s">
        <v>268</v>
      </c>
      <c r="B41" s="117">
        <f t="shared" ref="B41:H41" si="8">B33+B39+B34</f>
        <v>19302495.067073815</v>
      </c>
      <c r="C41" s="117">
        <f t="shared" si="8"/>
        <v>21565639.954873741</v>
      </c>
      <c r="D41" s="117">
        <f t="shared" si="8"/>
        <v>25355157.388902295</v>
      </c>
      <c r="E41" s="117">
        <f t="shared" si="8"/>
        <v>30132606.733300947</v>
      </c>
      <c r="F41" s="117">
        <f t="shared" si="8"/>
        <v>36133368.46135807</v>
      </c>
      <c r="G41" s="117">
        <f t="shared" si="8"/>
        <v>43489016.065177314</v>
      </c>
      <c r="H41" s="117">
        <f t="shared" si="8"/>
        <v>52162064.713321038</v>
      </c>
    </row>
    <row r="42" spans="1:8">
      <c r="A42" s="98"/>
      <c r="B42" s="108"/>
      <c r="C42" s="108"/>
      <c r="D42" s="108"/>
      <c r="E42" s="108"/>
      <c r="F42" s="108"/>
      <c r="G42" s="108"/>
      <c r="H42" s="108"/>
    </row>
    <row r="43" spans="1:8">
      <c r="A43" s="110" t="s">
        <v>269</v>
      </c>
      <c r="B43" s="111">
        <f t="shared" ref="B43:H43" si="9">B31+B41</f>
        <v>31698832.867351465</v>
      </c>
      <c r="C43" s="111">
        <f t="shared" si="9"/>
        <v>35189561.556958467</v>
      </c>
      <c r="D43" s="111">
        <f t="shared" si="9"/>
        <v>38416351.915452451</v>
      </c>
      <c r="E43" s="111">
        <f t="shared" si="9"/>
        <v>41788002.462144047</v>
      </c>
      <c r="F43" s="111">
        <f t="shared" si="9"/>
        <v>45949136.611004621</v>
      </c>
      <c r="G43" s="111">
        <f t="shared" si="9"/>
        <v>50955025.666549467</v>
      </c>
      <c r="H43" s="111">
        <f t="shared" si="9"/>
        <v>67139185.394193947</v>
      </c>
    </row>
    <row r="44" spans="1:8">
      <c r="A44" s="98"/>
      <c r="B44" s="118"/>
      <c r="C44" s="118"/>
      <c r="D44" s="118"/>
      <c r="E44" s="118"/>
      <c r="F44" s="118"/>
      <c r="G44" s="118"/>
      <c r="H44" s="118"/>
    </row>
    <row r="45" spans="1:8">
      <c r="A45" s="119" t="s">
        <v>270</v>
      </c>
      <c r="B45" s="120"/>
      <c r="C45" s="120"/>
      <c r="D45" s="120"/>
      <c r="E45" s="120"/>
      <c r="F45" s="120"/>
      <c r="G45" s="120"/>
      <c r="H45" s="120"/>
    </row>
    <row r="46" spans="1:8">
      <c r="A46" s="121" t="s">
        <v>271</v>
      </c>
      <c r="B46" s="122">
        <f t="shared" ref="B46:H46" si="10">B43-B20</f>
        <v>0</v>
      </c>
      <c r="C46" s="122">
        <f t="shared" si="10"/>
        <v>0</v>
      </c>
      <c r="D46" s="122">
        <f t="shared" si="10"/>
        <v>0</v>
      </c>
      <c r="E46" s="122">
        <f t="shared" si="10"/>
        <v>0</v>
      </c>
      <c r="F46" s="122">
        <f t="shared" si="10"/>
        <v>-5.9604644775390625E-8</v>
      </c>
      <c r="G46" s="122">
        <f t="shared" si="10"/>
        <v>0</v>
      </c>
      <c r="H46" s="122">
        <f t="shared" si="10"/>
        <v>10456197.283691108</v>
      </c>
    </row>
    <row r="47" spans="1:8">
      <c r="A47" s="121"/>
      <c r="B47" s="122"/>
      <c r="C47" s="122"/>
      <c r="D47" s="122"/>
      <c r="E47" s="122"/>
      <c r="F47" s="122"/>
      <c r="G47" s="122"/>
      <c r="H47" s="122"/>
    </row>
    <row r="48" spans="1:8" ht="15.75" thickBot="1">
      <c r="A48" s="123"/>
      <c r="B48" s="124"/>
      <c r="C48" s="124"/>
      <c r="D48" s="124"/>
      <c r="E48" s="124"/>
      <c r="F48" s="124"/>
      <c r="G48" s="124"/>
      <c r="H48" s="124"/>
    </row>
    <row r="49" spans="1:9">
      <c r="B49" s="46"/>
      <c r="C49" s="46"/>
      <c r="D49" s="46"/>
      <c r="E49" s="46"/>
      <c r="F49" s="46"/>
      <c r="G49" s="46"/>
      <c r="H49" s="46"/>
    </row>
    <row r="50" spans="1:9" ht="39.6" customHeight="1">
      <c r="A50" s="401" t="s">
        <v>408</v>
      </c>
      <c r="B50" s="402"/>
      <c r="C50" s="402"/>
      <c r="D50" s="402"/>
      <c r="E50" s="402"/>
      <c r="F50" s="402"/>
      <c r="G50" s="402"/>
      <c r="H50" s="402"/>
      <c r="I50" s="402"/>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7" orientation="portrait" r:id="rId1"/>
</worksheet>
</file>

<file path=xl/worksheets/sheet9.xml><?xml version="1.0" encoding="utf-8"?>
<worksheet xmlns="http://schemas.openxmlformats.org/spreadsheetml/2006/main" xmlns:r="http://schemas.openxmlformats.org/officeDocument/2006/relationships">
  <dimension ref="A1:J44"/>
  <sheetViews>
    <sheetView view="pageBreakPreview" topLeftCell="A10" zoomScale="80" zoomScaleSheetLayoutView="80" workbookViewId="0">
      <selection activeCell="C27" sqref="C27:C29"/>
    </sheetView>
  </sheetViews>
  <sheetFormatPr defaultRowHeight="15"/>
  <cols>
    <col min="1" max="1" width="3.5703125" bestFit="1" customWidth="1"/>
    <col min="2" max="2" width="35.7109375" bestFit="1" customWidth="1"/>
    <col min="3" max="3" width="15.5703125" customWidth="1"/>
    <col min="4" max="4" width="15.7109375" customWidth="1"/>
    <col min="5" max="5" width="14.5703125" customWidth="1"/>
    <col min="6" max="6" width="14.7109375" customWidth="1"/>
    <col min="7" max="7" width="18.85546875" customWidth="1"/>
    <col min="8" max="9" width="14.85546875" bestFit="1" customWidth="1"/>
  </cols>
  <sheetData>
    <row r="1" spans="1:10">
      <c r="A1" s="382"/>
      <c r="B1" s="382"/>
      <c r="C1" s="382"/>
      <c r="D1" s="382"/>
      <c r="E1" s="382"/>
      <c r="F1" s="382"/>
      <c r="G1" s="382"/>
    </row>
    <row r="2" spans="1:10" ht="18.75">
      <c r="A2" s="368" t="s">
        <v>565</v>
      </c>
      <c r="B2" s="368"/>
      <c r="C2" s="368"/>
      <c r="D2" s="368"/>
      <c r="E2" s="368"/>
      <c r="F2" s="368"/>
      <c r="G2" s="368"/>
      <c r="H2" s="368"/>
      <c r="I2" s="368"/>
      <c r="J2" s="5"/>
    </row>
    <row r="4" spans="1:10">
      <c r="A4" s="48" t="s">
        <v>227</v>
      </c>
      <c r="B4" s="48" t="s">
        <v>0</v>
      </c>
      <c r="C4" s="49" t="s">
        <v>2</v>
      </c>
      <c r="D4" s="49" t="s">
        <v>3</v>
      </c>
      <c r="E4" s="49" t="s">
        <v>4</v>
      </c>
      <c r="F4" s="49" t="s">
        <v>5</v>
      </c>
      <c r="G4" s="49" t="s">
        <v>6</v>
      </c>
      <c r="H4" s="49" t="s">
        <v>168</v>
      </c>
      <c r="I4" s="49" t="s">
        <v>167</v>
      </c>
    </row>
    <row r="5" spans="1:10">
      <c r="A5" s="31">
        <v>1</v>
      </c>
      <c r="B5" s="31" t="s">
        <v>7</v>
      </c>
      <c r="C5" s="32"/>
      <c r="D5" s="32"/>
      <c r="E5" s="32"/>
      <c r="F5" s="32"/>
      <c r="G5" s="32"/>
      <c r="H5" s="32"/>
      <c r="I5" s="32"/>
    </row>
    <row r="6" spans="1:10">
      <c r="A6" s="31"/>
      <c r="B6" s="33" t="s">
        <v>368</v>
      </c>
      <c r="C6" s="32">
        <f>'6.Cons Profit &amp; Loss'!B15</f>
        <v>85379712.321910501</v>
      </c>
      <c r="D6" s="32">
        <f>'6.Cons Profit &amp; Loss'!C15</f>
        <v>106914813.93894897</v>
      </c>
      <c r="E6" s="32">
        <f>'6.Cons Profit &amp; Loss'!D15</f>
        <v>126115318.00477001</v>
      </c>
      <c r="F6" s="32">
        <f>'6.Cons Profit &amp; Loss'!E15</f>
        <v>139644040.25454503</v>
      </c>
      <c r="G6" s="32">
        <f>'6.Cons Profit &amp; Loss'!F15</f>
        <v>153158198.84187001</v>
      </c>
      <c r="H6" s="32">
        <f>'6.Cons Profit &amp; Loss'!G15</f>
        <v>166614452.92019498</v>
      </c>
      <c r="I6" s="32">
        <f>'6.Cons Profit &amp; Loss'!H15</f>
        <v>180072802.48952001</v>
      </c>
    </row>
    <row r="7" spans="1:10">
      <c r="A7" s="31">
        <v>2</v>
      </c>
      <c r="B7" s="31" t="s">
        <v>228</v>
      </c>
      <c r="C7" s="32">
        <f>'1.Project Cost and MOF'!E21</f>
        <v>3878609.7887438573</v>
      </c>
      <c r="D7" s="32"/>
      <c r="E7" s="32"/>
      <c r="F7" s="32"/>
      <c r="G7" s="32"/>
      <c r="H7" s="32"/>
      <c r="I7" s="32"/>
    </row>
    <row r="8" spans="1:10">
      <c r="A8" s="31"/>
      <c r="B8" s="31" t="s">
        <v>289</v>
      </c>
      <c r="C8" s="32"/>
      <c r="D8" s="32"/>
      <c r="E8" s="32"/>
      <c r="F8" s="32"/>
      <c r="G8" s="32"/>
      <c r="H8" s="32"/>
      <c r="I8" s="32"/>
    </row>
    <row r="9" spans="1:10">
      <c r="A9" s="31">
        <v>3</v>
      </c>
      <c r="B9" s="31" t="s">
        <v>229</v>
      </c>
      <c r="C9" s="32">
        <f>'1.Project Cost and MOF'!E19</f>
        <v>14604572.396519998</v>
      </c>
      <c r="D9" s="32"/>
      <c r="E9" s="32"/>
      <c r="F9" s="32"/>
      <c r="G9" s="32"/>
      <c r="H9" s="32"/>
      <c r="I9" s="32"/>
    </row>
    <row r="10" spans="1:10">
      <c r="A10" s="31">
        <v>4</v>
      </c>
      <c r="B10" s="31" t="s">
        <v>230</v>
      </c>
      <c r="C10" s="32">
        <f>'1.Project Cost and MOF'!E20</f>
        <v>7302286.19826</v>
      </c>
      <c r="D10" s="32"/>
      <c r="E10" s="32"/>
      <c r="F10" s="32"/>
      <c r="G10" s="32"/>
      <c r="H10" s="32"/>
      <c r="I10" s="32"/>
    </row>
    <row r="11" spans="1:10">
      <c r="A11" s="31">
        <v>5</v>
      </c>
      <c r="B11" s="31" t="s">
        <v>695</v>
      </c>
      <c r="C11" s="32">
        <f>'7.Balance Sheet'!B24</f>
        <v>4333543.1679715719</v>
      </c>
      <c r="D11" s="32">
        <f>'7.Balance Sheet'!C24-'7.Balance Sheet'!B24</f>
        <v>2755301.3122483278</v>
      </c>
      <c r="E11" s="32">
        <f>'7.Balance Sheet'!D24-'7.Balance Sheet'!C24</f>
        <v>1257631.7983967075</v>
      </c>
      <c r="F11" s="32">
        <f>'7.Balance Sheet'!E24-'7.Balance Sheet'!D24</f>
        <v>882820.72367381677</v>
      </c>
      <c r="G11" s="32">
        <f>'7.Balance Sheet'!F24-'7.Balance Sheet'!E24</f>
        <v>882262.1174428612</v>
      </c>
      <c r="H11" s="32">
        <f>'7.Balance Sheet'!G24-'7.Balance Sheet'!F24</f>
        <v>880041.12257710658</v>
      </c>
      <c r="I11" s="32">
        <f>'7.Balance Sheet'!H24-'7.Balance Sheet'!G24</f>
        <v>880121.49757436663</v>
      </c>
    </row>
    <row r="12" spans="1:10">
      <c r="A12" s="31">
        <v>6</v>
      </c>
      <c r="B12" s="31" t="s">
        <v>692</v>
      </c>
      <c r="C12" s="32">
        <f>'7.Balance Sheet'!B25</f>
        <v>1572118.6609053493</v>
      </c>
      <c r="D12" s="32">
        <f>'7.Balance Sheet'!C25-'7.Balance Sheet'!B25</f>
        <v>302451.66017710976</v>
      </c>
      <c r="E12" s="32">
        <f>'7.Balance Sheet'!D25-'7.Balance Sheet'!C25</f>
        <v>325095.00065829488</v>
      </c>
      <c r="F12" s="32">
        <f>'7.Balance Sheet'!E25-'7.Balance Sheet'!D25</f>
        <v>226433.40481184889</v>
      </c>
      <c r="G12" s="32">
        <f>'7.Balance Sheet'!F25-'7.Balance Sheet'!E25</f>
        <v>226433.40481184935</v>
      </c>
      <c r="H12" s="32">
        <f>'7.Balance Sheet'!G25-'7.Balance Sheet'!F25</f>
        <v>226433.40481184982</v>
      </c>
      <c r="I12" s="32">
        <f>'7.Balance Sheet'!H25-'7.Balance Sheet'!G25</f>
        <v>226433.40481184935</v>
      </c>
    </row>
    <row r="13" spans="1:10">
      <c r="A13" s="31"/>
      <c r="B13" s="31" t="s">
        <v>231</v>
      </c>
      <c r="C13" s="34">
        <f>SUM(C6:C12)</f>
        <v>117070842.53431126</v>
      </c>
      <c r="D13" s="34">
        <f t="shared" ref="D13:I13" si="0">SUM(D6:D12)</f>
        <v>109972566.91137442</v>
      </c>
      <c r="E13" s="34">
        <f t="shared" si="0"/>
        <v>127698044.80382501</v>
      </c>
      <c r="F13" s="34">
        <f t="shared" si="0"/>
        <v>140753294.38303071</v>
      </c>
      <c r="G13" s="34">
        <f t="shared" si="0"/>
        <v>154266894.36412472</v>
      </c>
      <c r="H13" s="34">
        <f t="shared" si="0"/>
        <v>167720927.44758394</v>
      </c>
      <c r="I13" s="34">
        <f t="shared" si="0"/>
        <v>181179357.39190623</v>
      </c>
    </row>
    <row r="14" spans="1:10">
      <c r="A14" s="403" t="s">
        <v>232</v>
      </c>
      <c r="B14" s="403"/>
      <c r="C14" s="35"/>
      <c r="D14" s="35"/>
      <c r="E14" s="35"/>
      <c r="F14" s="35"/>
      <c r="G14" s="35"/>
      <c r="H14" s="35"/>
      <c r="I14" s="35"/>
    </row>
    <row r="15" spans="1:10">
      <c r="A15" s="31">
        <v>1</v>
      </c>
      <c r="B15" s="31" t="s">
        <v>233</v>
      </c>
      <c r="C15" s="35"/>
      <c r="D15" s="35"/>
      <c r="E15" s="35"/>
      <c r="F15" s="35"/>
      <c r="G15" s="35"/>
      <c r="H15" s="35"/>
      <c r="I15" s="35"/>
    </row>
    <row r="16" spans="1:10">
      <c r="A16" s="36" t="s">
        <v>234</v>
      </c>
      <c r="B16" s="35" t="str">
        <f>'[1]Total Cost of Project'!C3</f>
        <v>Land and Building</v>
      </c>
      <c r="C16" s="37">
        <f>'1.Project Cost and MOF'!D5</f>
        <v>13436807.994199999</v>
      </c>
      <c r="D16" s="37"/>
      <c r="E16" s="37"/>
      <c r="F16" s="37"/>
      <c r="G16" s="37"/>
      <c r="H16" s="37"/>
      <c r="I16" s="37"/>
    </row>
    <row r="17" spans="1:9">
      <c r="A17" s="36" t="s">
        <v>235</v>
      </c>
      <c r="B17" s="38" t="str">
        <f>'[1]Total Cost of Project'!C4</f>
        <v>Machinery and Equipment</v>
      </c>
      <c r="C17" s="37">
        <f>'1.Project Cost and MOF'!D6</f>
        <v>9890500</v>
      </c>
      <c r="D17" s="37"/>
      <c r="E17" s="37"/>
      <c r="F17" s="37"/>
      <c r="G17" s="37"/>
      <c r="H17" s="37"/>
      <c r="I17" s="37"/>
    </row>
    <row r="18" spans="1:9">
      <c r="A18" s="36" t="s">
        <v>272</v>
      </c>
      <c r="B18" s="38" t="s">
        <v>332</v>
      </c>
      <c r="C18" s="37">
        <f>'1.Project Cost and MOF'!D7</f>
        <v>187000</v>
      </c>
      <c r="D18" s="37"/>
      <c r="E18" s="37"/>
      <c r="F18" s="37"/>
      <c r="G18" s="37"/>
      <c r="H18" s="37"/>
      <c r="I18" s="37"/>
    </row>
    <row r="19" spans="1:9">
      <c r="A19" s="36" t="s">
        <v>274</v>
      </c>
      <c r="B19" s="38" t="s">
        <v>334</v>
      </c>
      <c r="C19" s="37">
        <f>'1.Project Cost and MOF'!D8</f>
        <v>78000</v>
      </c>
      <c r="D19" s="37"/>
      <c r="E19" s="37"/>
      <c r="F19" s="37"/>
      <c r="G19" s="37"/>
      <c r="H19" s="37"/>
      <c r="I19" s="37"/>
    </row>
    <row r="20" spans="1:9">
      <c r="A20" s="36" t="s">
        <v>335</v>
      </c>
      <c r="B20" s="38" t="s">
        <v>273</v>
      </c>
      <c r="C20" s="37">
        <f>'1.Project Cost and MOF'!D9</f>
        <v>0</v>
      </c>
      <c r="D20" s="32"/>
      <c r="E20" s="32"/>
      <c r="F20" s="32"/>
      <c r="G20" s="32"/>
      <c r="H20" s="32"/>
      <c r="I20" s="32"/>
    </row>
    <row r="21" spans="1:9">
      <c r="A21" s="36" t="s">
        <v>336</v>
      </c>
      <c r="B21" s="38" t="s">
        <v>275</v>
      </c>
      <c r="C21" s="37">
        <f>'1.Project Cost and MOF'!D10</f>
        <v>748646</v>
      </c>
      <c r="D21" s="32"/>
      <c r="E21" s="32"/>
      <c r="F21" s="32"/>
      <c r="G21" s="32"/>
      <c r="H21" s="32"/>
      <c r="I21" s="32"/>
    </row>
    <row r="22" spans="1:9">
      <c r="A22" s="31">
        <v>2</v>
      </c>
      <c r="B22" s="31" t="s">
        <v>236</v>
      </c>
      <c r="C22" s="35"/>
      <c r="D22" s="35"/>
      <c r="E22" s="35"/>
      <c r="F22" s="35"/>
      <c r="G22" s="35"/>
      <c r="H22" s="35"/>
      <c r="I22" s="35"/>
    </row>
    <row r="23" spans="1:9">
      <c r="A23" s="36" t="s">
        <v>234</v>
      </c>
      <c r="B23" s="35" t="s">
        <v>308</v>
      </c>
      <c r="C23" s="59">
        <f>'6.Cons Profit &amp; Loss'!B25</f>
        <v>77899420.809847116</v>
      </c>
      <c r="D23" s="59">
        <f>'6.Cons Profit &amp; Loss'!C25</f>
        <v>96958217.770980746</v>
      </c>
      <c r="E23" s="59">
        <f>'6.Cons Profit &amp; Loss'!D25</f>
        <v>113850565.52476589</v>
      </c>
      <c r="F23" s="59">
        <f>'6.Cons Profit &amp; Loss'!E25</f>
        <v>125913375.07912624</v>
      </c>
      <c r="G23" s="59">
        <f>'6.Cons Profit &amp; Loss'!F25</f>
        <v>137720259.75860125</v>
      </c>
      <c r="H23" s="59">
        <f>'6.Cons Profit &amp; Loss'!G25</f>
        <v>149527144.43807626</v>
      </c>
      <c r="I23" s="59">
        <f>'6.Cons Profit &amp; Loss'!H25</f>
        <v>161334029.11755127</v>
      </c>
    </row>
    <row r="24" spans="1:9">
      <c r="A24" s="36" t="s">
        <v>235</v>
      </c>
      <c r="B24" s="35" t="s">
        <v>306</v>
      </c>
      <c r="C24" s="32">
        <f>'6.Cons Profit &amp; Loss'!B36</f>
        <v>4115066.6847970001</v>
      </c>
      <c r="D24" s="32">
        <f>'6.Cons Profit &amp; Loss'!C36</f>
        <v>4412754.5225842502</v>
      </c>
      <c r="E24" s="32">
        <f>'6.Cons Profit &amp; Loss'!D36</f>
        <v>4710442.3603715003</v>
      </c>
      <c r="F24" s="32">
        <f>'6.Cons Profit &amp; Loss'!E36</f>
        <v>5008130.1981587503</v>
      </c>
      <c r="G24" s="32">
        <f>'6.Cons Profit &amp; Loss'!F36</f>
        <v>5305818.0359460004</v>
      </c>
      <c r="H24" s="32">
        <f>'6.Cons Profit &amp; Loss'!G36</f>
        <v>5603505.8737332504</v>
      </c>
      <c r="I24" s="32">
        <f>'6.Cons Profit &amp; Loss'!H36</f>
        <v>5901193.7115205005</v>
      </c>
    </row>
    <row r="25" spans="1:9">
      <c r="A25" s="39">
        <v>3</v>
      </c>
      <c r="B25" s="31" t="s">
        <v>513</v>
      </c>
      <c r="C25" s="32"/>
      <c r="D25" s="32"/>
      <c r="E25" s="32"/>
      <c r="F25" s="32"/>
      <c r="G25" s="32"/>
      <c r="H25" s="32"/>
      <c r="I25" s="32"/>
    </row>
    <row r="26" spans="1:9">
      <c r="A26" s="36"/>
      <c r="B26" s="35" t="s">
        <v>237</v>
      </c>
      <c r="C26" s="32">
        <f>SUM('4.TL repayment sch'!E10:E21)</f>
        <v>811610.22685926966</v>
      </c>
      <c r="D26" s="32">
        <f>SUM('4.TL repayment sch'!E22:E33)</f>
        <v>1830169.1706183646</v>
      </c>
      <c r="E26" s="32">
        <f>SUM('4.TL repayment sch'!E34:E45)</f>
        <v>2145453.874589575</v>
      </c>
      <c r="F26" s="32">
        <f>SUM('4.TL repayment sch'!E46:E57)</f>
        <v>2515052.9261927186</v>
      </c>
      <c r="G26" s="32">
        <f>SUM('4.TL repayment sch'!E58:E69)</f>
        <v>2948323.1014512596</v>
      </c>
      <c r="H26" s="32">
        <f>SUM('4.TL repayment sch'!E70:E81)</f>
        <v>3456233.0756633519</v>
      </c>
      <c r="I26" s="32">
        <f>SUM('4.TL repayment sch'!E82:E93)</f>
        <v>4051641.1065766066</v>
      </c>
    </row>
    <row r="27" spans="1:9">
      <c r="A27" s="36"/>
      <c r="B27" s="35" t="s">
        <v>238</v>
      </c>
      <c r="C27" s="32">
        <f>SUM('4.TL repayment sch'!D10:D21)</f>
        <v>1141730.1263301964</v>
      </c>
      <c r="D27" s="32">
        <f>SUM('4.TL repayment sch'!D22:D33)</f>
        <v>908145.74403896695</v>
      </c>
      <c r="E27" s="32">
        <f>SUM('4.TL repayment sch'!D34:D45)</f>
        <v>592861.04006775666</v>
      </c>
      <c r="F27" s="32">
        <f>SUM('4.TL repayment sch'!D46:D57)</f>
        <v>223261.98846461301</v>
      </c>
      <c r="G27" s="32">
        <f>SUM('4.TL repayment sch'!D58:D69)</f>
        <v>-210008.18679392769</v>
      </c>
      <c r="H27" s="32">
        <f>SUM('4.TL repayment sch'!D70:D81)</f>
        <v>-717918.16100602027</v>
      </c>
      <c r="I27" s="32">
        <f>SUM('4.TL repayment sch'!D82:D93)</f>
        <v>-1313326.1919192749</v>
      </c>
    </row>
    <row r="28" spans="1:9">
      <c r="A28" s="36"/>
      <c r="B28" s="35" t="s">
        <v>239</v>
      </c>
      <c r="C28" s="32"/>
      <c r="D28" s="32"/>
      <c r="E28" s="32"/>
      <c r="F28" s="32"/>
      <c r="G28" s="32"/>
      <c r="H28" s="32"/>
      <c r="I28" s="32"/>
    </row>
    <row r="29" spans="1:9">
      <c r="A29" s="36"/>
      <c r="B29" s="35" t="s">
        <v>240</v>
      </c>
      <c r="C29" s="40">
        <f>'7.Balance Sheet'!B24*12%</f>
        <v>520025.18015658861</v>
      </c>
      <c r="D29" s="40">
        <f>'7.Balance Sheet'!C24*12%</f>
        <v>850661.33762638795</v>
      </c>
      <c r="E29" s="40">
        <f>'7.Balance Sheet'!D24*12%</f>
        <v>1001577.1534339929</v>
      </c>
      <c r="F29" s="40">
        <f>'7.Balance Sheet'!E24*12%</f>
        <v>1107515.6402748509</v>
      </c>
      <c r="G29" s="40">
        <f>'7.Balance Sheet'!F24*12%</f>
        <v>1213387.0943679942</v>
      </c>
      <c r="H29" s="40">
        <f>'7.Balance Sheet'!G24*12%</f>
        <v>1318992.029077247</v>
      </c>
      <c r="I29" s="40">
        <f>'7.Balance Sheet'!H24*12%</f>
        <v>1424606.6087861708</v>
      </c>
    </row>
    <row r="30" spans="1:9">
      <c r="A30" s="31">
        <v>4</v>
      </c>
      <c r="B30" s="31" t="s">
        <v>241</v>
      </c>
      <c r="C30" s="32">
        <f>'6.Cons Profit &amp; Loss'!B50</f>
        <v>-344088.02444650524</v>
      </c>
      <c r="D30" s="32">
        <f>'6.Cons Profit &amp; Loss'!C50</f>
        <v>293645.01250256354</v>
      </c>
      <c r="E30" s="32">
        <f>'6.Cons Profit &amp; Loss'!D50</f>
        <v>942109.82868617342</v>
      </c>
      <c r="F30" s="32">
        <f>'6.Cons Profit &amp; Loss'!E50</f>
        <v>1386063.3407057826</v>
      </c>
      <c r="G30" s="32">
        <f>'6.Cons Profit &amp; Loss'!F50</f>
        <v>1899735.748275423</v>
      </c>
      <c r="H30" s="32">
        <f>'6.Cons Profit &amp; Loss'!G50</f>
        <v>2448565.6730788616</v>
      </c>
      <c r="I30" s="32">
        <f>'6.Cons Profit &amp; Loss'!H50</f>
        <v>2974735.1320214928</v>
      </c>
    </row>
    <row r="31" spans="1:9">
      <c r="A31" s="31">
        <v>5</v>
      </c>
      <c r="B31" s="31" t="s">
        <v>693</v>
      </c>
      <c r="C31" s="32">
        <f>'7.Balance Sheet'!B9</f>
        <v>3274838.2808404034</v>
      </c>
      <c r="D31" s="32">
        <f>'7.Balance Sheet'!C9-'7.Balance Sheet'!B9</f>
        <v>826003.89763983106</v>
      </c>
      <c r="E31" s="32">
        <f>'7.Balance Sheet'!D9-'7.Balance Sheet'!C9</f>
        <v>736457.69019587571</v>
      </c>
      <c r="F31" s="32">
        <f>'7.Balance Sheet'!E9-'7.Balance Sheet'!D9</f>
        <v>518909.89451191761</v>
      </c>
      <c r="G31" s="32">
        <f>'7.Balance Sheet'!F9-'7.Balance Sheet'!E9</f>
        <v>518351.28828095831</v>
      </c>
      <c r="H31" s="32">
        <f>'7.Balance Sheet'!G9-'7.Balance Sheet'!F9</f>
        <v>516130.29341520555</v>
      </c>
      <c r="I31" s="32">
        <f>'7.Balance Sheet'!H9-'7.Balance Sheet'!G9</f>
        <v>516210.66841246653</v>
      </c>
    </row>
    <row r="32" spans="1:9">
      <c r="A32" s="31">
        <v>6</v>
      </c>
      <c r="B32" s="31" t="s">
        <v>694</v>
      </c>
      <c r="C32" s="32">
        <f>'7.Balance Sheet'!B10</f>
        <v>4075337.9373603752</v>
      </c>
      <c r="D32" s="32">
        <f>'7.Balance Sheet'!C10-'7.Balance Sheet'!B10</f>
        <v>787234.68546174932</v>
      </c>
      <c r="E32" s="32">
        <f>'7.Balance Sheet'!D10-'7.Balance Sheet'!C10</f>
        <v>846269.10885912646</v>
      </c>
      <c r="F32" s="32">
        <f>'7.Balance Sheet'!E10-'7.Balance Sheet'!D10</f>
        <v>590344.23397374898</v>
      </c>
      <c r="G32" s="32">
        <f>'7.Balance Sheet'!F10-'7.Balance Sheet'!E10</f>
        <v>590344.23397375084</v>
      </c>
      <c r="H32" s="32">
        <f>'7.Balance Sheet'!G10-'7.Balance Sheet'!F10</f>
        <v>590344.23397375084</v>
      </c>
      <c r="I32" s="32">
        <f>'7.Balance Sheet'!H10-'7.Balance Sheet'!G10</f>
        <v>590344.23397374991</v>
      </c>
    </row>
    <row r="33" spans="1:10">
      <c r="A33" s="31"/>
      <c r="B33" s="31" t="s">
        <v>242</v>
      </c>
      <c r="C33" s="41">
        <f>SUM(C16:C32)</f>
        <v>115834895.21594444</v>
      </c>
      <c r="D33" s="41">
        <f t="shared" ref="D33:I33" si="1">SUM(D16:D32)</f>
        <v>106866832.14145285</v>
      </c>
      <c r="E33" s="41">
        <f t="shared" si="1"/>
        <v>124825736.5809699</v>
      </c>
      <c r="F33" s="41">
        <f t="shared" si="1"/>
        <v>137262653.30140859</v>
      </c>
      <c r="G33" s="41">
        <f t="shared" si="1"/>
        <v>149986211.0741027</v>
      </c>
      <c r="H33" s="41">
        <f t="shared" si="1"/>
        <v>162742997.45601192</v>
      </c>
      <c r="I33" s="41">
        <f t="shared" si="1"/>
        <v>175479434.38692299</v>
      </c>
    </row>
    <row r="34" spans="1:10">
      <c r="A34" s="31"/>
      <c r="B34" s="31" t="s">
        <v>243</v>
      </c>
      <c r="C34" s="41">
        <f t="shared" ref="C34:I34" si="2">C13-C33</f>
        <v>1235947.3183668256</v>
      </c>
      <c r="D34" s="41">
        <f t="shared" si="2"/>
        <v>3105734.769921571</v>
      </c>
      <c r="E34" s="41">
        <f t="shared" si="2"/>
        <v>2872308.222855106</v>
      </c>
      <c r="F34" s="41">
        <f t="shared" si="2"/>
        <v>3490641.0816221237</v>
      </c>
      <c r="G34" s="41">
        <f t="shared" si="2"/>
        <v>4280683.2900220156</v>
      </c>
      <c r="H34" s="41">
        <f t="shared" si="2"/>
        <v>4977929.9915720224</v>
      </c>
      <c r="I34" s="41">
        <f t="shared" si="2"/>
        <v>5699923.0049832463</v>
      </c>
    </row>
    <row r="35" spans="1:10">
      <c r="A35" s="39"/>
      <c r="B35" s="35" t="s">
        <v>244</v>
      </c>
      <c r="C35" s="35"/>
      <c r="D35" s="42">
        <f t="shared" ref="D35:I35" si="3">C36</f>
        <v>1235947.3183668256</v>
      </c>
      <c r="E35" s="42">
        <f t="shared" si="3"/>
        <v>4341682.0882883966</v>
      </c>
      <c r="F35" s="42">
        <f t="shared" si="3"/>
        <v>7213990.3111435026</v>
      </c>
      <c r="G35" s="42">
        <f t="shared" si="3"/>
        <v>10704631.392765626</v>
      </c>
      <c r="H35" s="42">
        <f t="shared" si="3"/>
        <v>14985314.682787642</v>
      </c>
      <c r="I35" s="42">
        <f t="shared" si="3"/>
        <v>19963244.674359664</v>
      </c>
    </row>
    <row r="36" spans="1:10">
      <c r="A36" s="31"/>
      <c r="B36" s="43" t="s">
        <v>245</v>
      </c>
      <c r="C36" s="41">
        <f t="shared" ref="C36:I36" si="4">C34+C35</f>
        <v>1235947.3183668256</v>
      </c>
      <c r="D36" s="41">
        <f t="shared" si="4"/>
        <v>4341682.0882883966</v>
      </c>
      <c r="E36" s="41">
        <f t="shared" si="4"/>
        <v>7213990.3111435026</v>
      </c>
      <c r="F36" s="41">
        <f t="shared" si="4"/>
        <v>10704631.392765626</v>
      </c>
      <c r="G36" s="41">
        <f t="shared" si="4"/>
        <v>14985314.682787642</v>
      </c>
      <c r="H36" s="41">
        <f t="shared" si="4"/>
        <v>19963244.674359664</v>
      </c>
      <c r="I36" s="41">
        <f t="shared" si="4"/>
        <v>25663167.679342911</v>
      </c>
    </row>
    <row r="38" spans="1:10" ht="39.950000000000003" customHeight="1">
      <c r="A38" s="404" t="s">
        <v>409</v>
      </c>
      <c r="B38" s="404"/>
      <c r="C38" s="404"/>
      <c r="D38" s="404"/>
      <c r="E38" s="404"/>
      <c r="F38" s="404"/>
      <c r="G38" s="404"/>
      <c r="H38" s="404"/>
      <c r="I38" s="404"/>
      <c r="J38" s="404"/>
    </row>
    <row r="40" spans="1:10">
      <c r="C40" s="53"/>
    </row>
    <row r="41" spans="1:10">
      <c r="C41" s="53"/>
    </row>
    <row r="42" spans="1:10">
      <c r="C42" s="53"/>
    </row>
    <row r="43" spans="1:10">
      <c r="C43" s="53"/>
    </row>
    <row r="44" spans="1:10">
      <c r="C44" s="53"/>
    </row>
  </sheetData>
  <mergeCells count="4">
    <mergeCell ref="A1:G1"/>
    <mergeCell ref="A14:B14"/>
    <mergeCell ref="A2:I2"/>
    <mergeCell ref="A38:J38"/>
  </mergeCells>
  <pageMargins left="0.7" right="0.7" top="0.75" bottom="0.75" header="0.3" footer="0.3"/>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9.1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'9.1 Financial indiacators'!Print_Area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2023-06-04T08:57:55Z</dcterms:modified>
</cp:coreProperties>
</file>